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4240" windowHeight="10575" tabRatio="808"/>
  </bookViews>
  <sheets>
    <sheet name="საშემოსავლო-ხელფასის უწყისი" sheetId="5" r:id="rId1"/>
    <sheet name="საშემოსავლო-სამუშაო რვეული" sheetId="6" r:id="rId2"/>
    <sheet name="საშემოსავლო-დეკლარაცია" sheetId="7" r:id="rId3"/>
    <sheet name="დღგ- სამუშაო რვეული" sheetId="1" r:id="rId4"/>
    <sheet name="დღგ-დეკლარაცია" sheetId="2" r:id="rId5"/>
    <sheet name="მოგება-სამუშაო რვეული" sheetId="3" r:id="rId6"/>
    <sheet name="მოგება-დეკლარაცია " sheetId="4" r:id="rId7"/>
    <sheet name="ა განყოფილება " sheetId="8" r:id="rId8"/>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2" i="5" l="1"/>
  <c r="H22" i="5" s="1"/>
  <c r="F24" i="5"/>
  <c r="I24" i="5" s="1"/>
  <c r="M24" i="5"/>
  <c r="F25" i="5"/>
  <c r="K25" i="5" s="1"/>
  <c r="K34" i="5" s="1"/>
  <c r="M25" i="5"/>
  <c r="F26" i="5"/>
  <c r="I26" i="5" s="1"/>
  <c r="M26" i="5"/>
  <c r="F27" i="5"/>
  <c r="I27" i="5" s="1"/>
  <c r="F29" i="5"/>
  <c r="H29" i="5" s="1"/>
  <c r="F31" i="5"/>
  <c r="J31" i="5"/>
  <c r="J34" i="5" s="1"/>
  <c r="M31" i="5"/>
  <c r="F33" i="5"/>
  <c r="J33" i="5"/>
  <c r="F50" i="7"/>
  <c r="F44" i="7"/>
  <c r="F36" i="7"/>
  <c r="G13" i="7"/>
  <c r="G12" i="7" s="1"/>
  <c r="F13" i="7"/>
  <c r="F12" i="7"/>
  <c r="F9" i="7"/>
  <c r="H65" i="6"/>
  <c r="H66" i="6" s="1"/>
  <c r="H60" i="6"/>
  <c r="H61" i="6" s="1"/>
  <c r="G42" i="7" s="1"/>
  <c r="H55" i="6"/>
  <c r="H56" i="6" s="1"/>
  <c r="H54" i="6"/>
  <c r="H50" i="6"/>
  <c r="H48" i="6"/>
  <c r="H46" i="6"/>
  <c r="G44" i="7" s="1"/>
  <c r="H44" i="6"/>
  <c r="H38" i="6"/>
  <c r="H37" i="6"/>
  <c r="H36" i="6"/>
  <c r="H35" i="6"/>
  <c r="H29" i="6"/>
  <c r="H28" i="6"/>
  <c r="H22" i="6"/>
  <c r="H21" i="6"/>
  <c r="H15" i="6"/>
  <c r="H10" i="6"/>
  <c r="L16" i="5"/>
  <c r="M16" i="5" s="1"/>
  <c r="J16" i="5"/>
  <c r="D14" i="5"/>
  <c r="L13" i="5"/>
  <c r="K13" i="5"/>
  <c r="J13" i="5"/>
  <c r="I13" i="5"/>
  <c r="F13" i="5"/>
  <c r="M13" i="5" s="1"/>
  <c r="E13" i="5"/>
  <c r="K12" i="5"/>
  <c r="E12" i="5"/>
  <c r="F12" i="5" s="1"/>
  <c r="K11" i="5"/>
  <c r="E11" i="5"/>
  <c r="F11" i="5" s="1"/>
  <c r="K10" i="5"/>
  <c r="E10" i="5"/>
  <c r="F10" i="5" s="1"/>
  <c r="K9" i="5"/>
  <c r="I9" i="5"/>
  <c r="J9" i="5" s="1"/>
  <c r="H9" i="5"/>
  <c r="F9" i="5"/>
  <c r="E9" i="5"/>
  <c r="B9" i="5"/>
  <c r="B10" i="5" s="1"/>
  <c r="B11" i="5" s="1"/>
  <c r="B12" i="5" s="1"/>
  <c r="B13" i="5" s="1"/>
  <c r="K8" i="5"/>
  <c r="J8" i="5"/>
  <c r="F8" i="5"/>
  <c r="E8" i="5"/>
  <c r="B8" i="5"/>
  <c r="K7" i="5"/>
  <c r="K14" i="5" s="1"/>
  <c r="H7" i="5"/>
  <c r="F7" i="5"/>
  <c r="E7" i="5"/>
  <c r="L9" i="5" l="1"/>
  <c r="M9" i="5" s="1"/>
  <c r="I34" i="5"/>
  <c r="I35" i="5"/>
  <c r="H11" i="5"/>
  <c r="I11" i="5" s="1"/>
  <c r="J11" i="5" s="1"/>
  <c r="L11" i="5" s="1"/>
  <c r="M11" i="5" s="1"/>
  <c r="E14" i="5"/>
  <c r="G46" i="7"/>
  <c r="G38" i="7"/>
  <c r="F14" i="5"/>
  <c r="F6" i="7" s="1"/>
  <c r="G9" i="7"/>
  <c r="H10" i="5"/>
  <c r="H12" i="5"/>
  <c r="I12" i="5"/>
  <c r="J12" i="5" s="1"/>
  <c r="H8" i="5"/>
  <c r="L8" i="5" s="1"/>
  <c r="M8" i="5" s="1"/>
  <c r="F42" i="7"/>
  <c r="F38" i="7" s="1"/>
  <c r="F34" i="7"/>
  <c r="F30" i="7" s="1"/>
  <c r="I7" i="5"/>
  <c r="J7" i="5" l="1"/>
  <c r="L12" i="5"/>
  <c r="M12" i="5" s="1"/>
  <c r="H14" i="5"/>
  <c r="I10" i="5"/>
  <c r="J10" i="5" s="1"/>
  <c r="L10" i="5" s="1"/>
  <c r="M10" i="5" s="1"/>
  <c r="J14" i="5" l="1"/>
  <c r="G7" i="7" s="1"/>
  <c r="G29" i="7" s="1"/>
  <c r="G47" i="7" s="1"/>
  <c r="L7" i="5"/>
  <c r="M7" i="5" s="1"/>
  <c r="M14" i="5" s="1"/>
  <c r="I14" i="5"/>
  <c r="D21" i="5" s="1"/>
  <c r="F21" i="5" l="1"/>
  <c r="M22" i="5"/>
  <c r="M34" i="5" s="1"/>
  <c r="D34" i="5"/>
  <c r="F7" i="7"/>
  <c r="L14" i="5"/>
  <c r="F34" i="5" l="1"/>
  <c r="H21" i="5"/>
  <c r="H34" i="5" s="1"/>
  <c r="H35" i="5" s="1"/>
  <c r="I76" i="4" l="1"/>
  <c r="E76" i="4"/>
  <c r="I75" i="4"/>
  <c r="I74" i="4"/>
  <c r="I68" i="4"/>
  <c r="G60" i="4"/>
  <c r="H58" i="4"/>
  <c r="G39" i="4" s="1"/>
  <c r="H38" i="4" s="1"/>
  <c r="H56" i="4"/>
  <c r="H55" i="4"/>
  <c r="G45" i="4"/>
  <c r="G44" i="4"/>
  <c r="H43" i="4"/>
  <c r="G29" i="4"/>
  <c r="F24" i="4"/>
  <c r="G22" i="4" s="1"/>
  <c r="G18" i="4"/>
  <c r="G13" i="4"/>
  <c r="G10" i="4"/>
  <c r="F7" i="4"/>
  <c r="G6" i="4" s="1"/>
  <c r="H5" i="4" s="1"/>
  <c r="H48" i="3"/>
  <c r="G28" i="4" s="1"/>
  <c r="H44" i="3"/>
  <c r="H33" i="4" s="1"/>
  <c r="H39" i="3"/>
  <c r="G32" i="4" s="1"/>
  <c r="H21" i="3"/>
  <c r="G20" i="4" s="1"/>
  <c r="H17" i="4" s="1"/>
  <c r="H21" i="4" l="1"/>
  <c r="H34" i="4" s="1"/>
  <c r="H36" i="4" s="1"/>
  <c r="H37" i="4" s="1"/>
  <c r="H42" i="4" s="1"/>
  <c r="H47" i="4" s="1"/>
  <c r="E77" i="4"/>
  <c r="I77" i="4" s="1"/>
  <c r="H31" i="4"/>
  <c r="C10" i="2" l="1"/>
  <c r="C8" i="2"/>
  <c r="H102" i="1"/>
  <c r="H98" i="1"/>
  <c r="H96" i="1"/>
  <c r="H88" i="1"/>
  <c r="H86" i="1"/>
  <c r="H84" i="1"/>
  <c r="H82" i="1"/>
  <c r="H74" i="1"/>
  <c r="H72" i="1"/>
  <c r="H67" i="1"/>
  <c r="H66" i="1"/>
  <c r="H54" i="1"/>
  <c r="H53" i="1"/>
  <c r="H51" i="1"/>
  <c r="H52" i="1" s="1"/>
  <c r="H47" i="1"/>
  <c r="H46" i="1"/>
  <c r="C7" i="2" s="1"/>
  <c r="H39" i="1"/>
  <c r="H40" i="1" s="1"/>
  <c r="E16" i="2" s="1"/>
  <c r="H34" i="1"/>
  <c r="H35" i="1" s="1"/>
  <c r="E15" i="2" s="1"/>
  <c r="H24" i="1"/>
  <c r="H25" i="1" s="1"/>
  <c r="H18" i="1"/>
  <c r="H19" i="1" s="1"/>
  <c r="H10" i="1"/>
  <c r="H9" i="1"/>
  <c r="H11" i="1" s="1"/>
  <c r="H12" i="1" s="1"/>
  <c r="E12" i="2" l="1"/>
  <c r="G14" i="2"/>
  <c r="G18" i="2" s="1"/>
  <c r="C6" i="2"/>
  <c r="E5" i="2" s="1"/>
  <c r="E18" i="2" s="1"/>
  <c r="E19" i="2" l="1"/>
</calcChain>
</file>

<file path=xl/sharedStrings.xml><?xml version="1.0" encoding="utf-8"?>
<sst xmlns="http://schemas.openxmlformats.org/spreadsheetml/2006/main" count="630" uniqueCount="387">
  <si>
    <t>ამოცანა #3</t>
  </si>
  <si>
    <t>დამატებული ღირებულების გადასახადი</t>
  </si>
  <si>
    <t>ყურადღება შეფასებას ექვემდებარება "სწორი პასუხი"-ს სვეტში მითითებული თანხა</t>
  </si>
  <si>
    <t xml:space="preserve">1. განსაზღვრეთ ამ ოპერაციის მიხედვით  საბაჟო ღირებულება, აქციზის  და დღგ-ის სიდიდე.       </t>
  </si>
  <si>
    <t>დიზელის იმპორტი</t>
  </si>
  <si>
    <t>გაანგარიშება</t>
  </si>
  <si>
    <t>მაჩვენებელი</t>
  </si>
  <si>
    <t>სწორი პასუხი</t>
  </si>
  <si>
    <t>შეფასება</t>
  </si>
  <si>
    <t>დაგროვილი ქულა</t>
  </si>
  <si>
    <r>
      <t>(20000*1.55</t>
    </r>
    <r>
      <rPr>
        <sz val="11"/>
        <color theme="1"/>
        <rFont val="Calibri"/>
        <family val="2"/>
      </rPr>
      <t>€+2250*0.55€+500€)*3.0=98213</t>
    </r>
  </si>
  <si>
    <t>საბაჟო ღირებულება</t>
  </si>
  <si>
    <t>აქციზი 20*400=8000</t>
  </si>
  <si>
    <t>აქციზის გადასახადი</t>
  </si>
  <si>
    <t>(98213+8000)=10613</t>
  </si>
  <si>
    <t>დასაბეგრი თანხა</t>
  </si>
  <si>
    <t>106213*18%=19118.25</t>
  </si>
  <si>
    <t>დღგ</t>
  </si>
  <si>
    <t xml:space="preserve">2. განსაზღვრეთ ამ ოპერაციის მიხედვით  საანგარიშო თვის დასაბეგრი თანხა და დღგ-ის დასარიცხი და ჩასათვლელი თანხის სიდიდე.    </t>
  </si>
  <si>
    <t>არარეზიდენტის მომსახურება</t>
  </si>
  <si>
    <t>პროგრამის ინსტალაცია/ გამოყენება(3000+4*12)*3=9144*18%=1645.92</t>
  </si>
  <si>
    <t>დასარიცხი და ჩასათვლელი დღგ</t>
  </si>
  <si>
    <t xml:space="preserve">3. განსაზღვრეთ ამ ოპერაციის მიხედვით  საანგარიშო თვის დასაბეგრი და განთავისუფლებული თანხა და დღგ-ის სიდიდე.       </t>
  </si>
  <si>
    <t>მიწის გასხვისება/ შეძენა</t>
  </si>
  <si>
    <t>დიღმის მიწის გასხვისება 400000/1.18=338983</t>
  </si>
  <si>
    <t>დღგ 338983*18%=61017</t>
  </si>
  <si>
    <t>ლილოში მიწის ნაკვეთის შეძენა 54000</t>
  </si>
  <si>
    <t>განთავისუფლებულია ჩათვლის უფლების გარეშე</t>
  </si>
  <si>
    <t>არ ექვემდებარება ჩათვლას</t>
  </si>
  <si>
    <t xml:space="preserve">4. განსაზღვრეთ ამ ოპერაციის მიხედვით  საანგარიშო თვის დასაბეგრი თანხა და დღგ-ის სიდიდე.       </t>
  </si>
  <si>
    <t>ჩათვლის კორექტირება</t>
  </si>
  <si>
    <t>საბურავების დაბრუნება Tegeta Motors 12000/12=1000*6=6000/1.18*18%=915.25</t>
  </si>
  <si>
    <t xml:space="preserve"> </t>
  </si>
  <si>
    <t>5. ჩათვლილი თანხის აღდგენა      (დიზელის საწვავი)</t>
  </si>
  <si>
    <t>5900/1.18=5000/2000=2.50  200*2.50=500      500*18%=90</t>
  </si>
  <si>
    <r>
      <rPr>
        <sz val="10"/>
        <color theme="1"/>
        <rFont val="Sylfaen"/>
        <family val="1"/>
      </rPr>
      <t>6.</t>
    </r>
    <r>
      <rPr>
        <sz val="10"/>
        <color theme="1"/>
        <rFont val="Times New Roman"/>
        <family val="1"/>
      </rPr>
      <t xml:space="preserve">   </t>
    </r>
    <r>
      <rPr>
        <b/>
        <sz val="10"/>
        <color theme="1"/>
        <rFont val="Sylfaen"/>
        <family val="1"/>
      </rPr>
      <t xml:space="preserve"> განსაზღვრეთ ამ ოპერაციების მიხედვით  საანგარიშო თვის დასაბეგრი თანხა და დღგ-ის სიდიდე.       </t>
    </r>
  </si>
  <si>
    <t>საელჩოს თანამშრომლებისთვის  მომსახურების გაწევა</t>
  </si>
  <si>
    <t>1000*3.8=3800</t>
  </si>
  <si>
    <t>7. ტურისტული ფირმის დაკვეთვა</t>
  </si>
  <si>
    <t>სატრანსპორტო მომსახურება</t>
  </si>
  <si>
    <t>ავიაბილეთების შეძენის მომსახურება (10000$*3%)*2.7=810*0%=0</t>
  </si>
  <si>
    <r>
      <t>8.</t>
    </r>
    <r>
      <rPr>
        <sz val="7"/>
        <color theme="1"/>
        <rFont val="Calibri"/>
        <family val="2"/>
        <scheme val="minor"/>
      </rPr>
      <t xml:space="preserve">  </t>
    </r>
    <r>
      <rPr>
        <b/>
        <sz val="11"/>
        <color theme="1"/>
        <rFont val="Calibri"/>
        <family val="2"/>
        <scheme val="minor"/>
      </rPr>
      <t>განსაზღვრეთ ამ ოპერაციის მიხედვით დღგ-ის თანხა.</t>
    </r>
  </si>
  <si>
    <t>ავტომობილის ავზში დიზელის ინპორტი</t>
  </si>
  <si>
    <t>12500*0=0 გათავისუფლებულია იმპორტის დღგ-ისგან</t>
  </si>
  <si>
    <t>იმპორტიგათავისუფლებულია  დღგ-ისგან</t>
  </si>
  <si>
    <t>9. განსაზღვრეთ  ამ ოპერაციების შედეგად :</t>
  </si>
  <si>
    <t xml:space="preserve">ბიოდიზელის წარმოება </t>
  </si>
  <si>
    <t>ა) ჩასათვლელი აქციზის და დღგ-ის თანხა</t>
  </si>
  <si>
    <t>გადახდილი/გადასახდელი აქციზი  500*20/100*7.5=750                                             ჩასათვლელი აქციზი 400*20/100*7.5=600</t>
  </si>
  <si>
    <t>ჩასათვლელი აქციზი</t>
  </si>
  <si>
    <t>7500/1.18=6355.93                               6355.93*18%=1144</t>
  </si>
  <si>
    <t>ჩასათვლელი დღგ</t>
  </si>
  <si>
    <t>ბ, გ) დასარიცხი აქციზის და დღგ-ის თანხა</t>
  </si>
  <si>
    <t>5000+15000=20000*2=40000</t>
  </si>
  <si>
    <t>საქონლის ღირებულება</t>
  </si>
  <si>
    <t>(20000/1000)=20*150=3000</t>
  </si>
  <si>
    <t>დასარიცხი აქციზი</t>
  </si>
  <si>
    <t>(40000+3000)=43000</t>
  </si>
  <si>
    <t>43000*18%=7740</t>
  </si>
  <si>
    <t>დასარიცხი დღგ</t>
  </si>
  <si>
    <r>
      <rPr>
        <sz val="10"/>
        <color theme="1"/>
        <rFont val="Sylfaen"/>
        <family val="1"/>
      </rPr>
      <t>10.</t>
    </r>
    <r>
      <rPr>
        <sz val="10"/>
        <color theme="1"/>
        <rFont val="Times New Roman"/>
        <family val="1"/>
      </rPr>
      <t xml:space="preserve">   </t>
    </r>
    <r>
      <rPr>
        <b/>
        <sz val="10"/>
        <color theme="1"/>
        <rFont val="Sylfaen"/>
        <family val="1"/>
      </rPr>
      <t xml:space="preserve"> განსაზღვრეთ ამ ოპერაციების მიხედვით  საანგარიშო თვის დასაბეგრი თანხა და დღგ-ის სიდიდე.       </t>
    </r>
  </si>
  <si>
    <t xml:space="preserve"> ლოჯისტიკური მომსახურების გაწევა</t>
  </si>
  <si>
    <t>საქართველოში</t>
  </si>
  <si>
    <t xml:space="preserve"> ლოჯისტიკური მომსახურება იურიდიული პირთათვის</t>
  </si>
  <si>
    <t xml:space="preserve">ტვირთების გადაზიდვა ფიზიკური პირთათვის </t>
  </si>
  <si>
    <t>რეზიდენტებისთვის გადამზიდავების ძებნა საზღვერგარეთ</t>
  </si>
  <si>
    <t>არარეზიდენტისთვის დოკუმენტების საბაჟო გაფორმება</t>
  </si>
  <si>
    <t>მომსახურების გაწევა  მეწყერის ბრძოლის წინაამდეგ</t>
  </si>
  <si>
    <t>საზღვარგარეთ</t>
  </si>
  <si>
    <t>ტვირთის გადაზიდვა ლონდონი სტამბოლი</t>
  </si>
  <si>
    <t>არ არის დაბეგვრის ობიექტი</t>
  </si>
  <si>
    <t>იურიდიულ პირთათვის ლოჯისტიკური მომსახურება</t>
  </si>
  <si>
    <t>არარეზიდენტ ფიზიკურ პირთათვის ლოჯისტიკური მომსახურება საზღვარგარეთ</t>
  </si>
  <si>
    <t>11. პროპორციული ჩათვლა</t>
  </si>
  <si>
    <t>(1280000-300000-200000)+200000=980000         30000/1500000*100%=2%  100%2%=98.%</t>
  </si>
  <si>
    <t>ჩათვლის პროცენტი</t>
  </si>
  <si>
    <t>30000/1.18=25423.73       25423.73*18%=4576.27*98%=4484.47 = 4576.27</t>
  </si>
  <si>
    <t>პროპორციულად გაანგარიშებული ჩასათვლელი დღგ</t>
  </si>
  <si>
    <t>დამატებული ღირებულების დეკლარაცია</t>
  </si>
  <si>
    <t>თებერვალი 2021 წ.</t>
  </si>
  <si>
    <t>დასაბეგრი ოპერაციები</t>
  </si>
  <si>
    <t>დღგ-ის გადასახდელი თანხა</t>
  </si>
  <si>
    <t>დღგ-ის შესამცირებელი თანხა</t>
  </si>
  <si>
    <t>დღგ, დარიცხული საგადასახადო პერიოდში განხორციელებულ ბრუნვაზე (მათ შორის ,დღგ დარიცხული უძრავი ქონების შექმნა/მართვა/რეალიზაციასთან დაკავშირებულ დასაბეგრ ბრუნვაზე )</t>
  </si>
  <si>
    <t>18%-იანი განაკვეთით დასაბეგრი ბრუნვა</t>
  </si>
  <si>
    <t>დღგ-ის ჩათვლის უფლებით გათავისუფლებული ბრუნვა</t>
  </si>
  <si>
    <t>საქართველოს ტერიტორიის გარეთ მომსახურების გაწევასთან/საქონლის მიწოდებასთან დაკავშირებული ბრუნვა</t>
  </si>
  <si>
    <t>საანგარიშო პერიოდში განხორციელებულ საქონლის მიწოდებაზე / მომსახურების გაწევაზე წინასწარ გადახდილი საკომპენსაციო თანხა/თანხის ნაწილი, რომელიც წინა საანგარიშო პერიოდების მიხედვით ექვემდებარებოდა დაბეგვრას</t>
  </si>
  <si>
    <t>დღგ-ისაგან ჩათვლის უფლების გარეშე გათავისუფლებული ბრუნვა</t>
  </si>
  <si>
    <t>დღგ ბრუნვის კორექტირებაზე</t>
  </si>
  <si>
    <t>უკუდაბეგვრის წესით დარიცხული დღგ</t>
  </si>
  <si>
    <t>დღგ უკუდაბეგვრით დასაბეგრი ოპერაციის კორექტირებაზე</t>
  </si>
  <si>
    <t>დღგ-ის ჩასათვლელი (შესამცირებელი) თანხა</t>
  </si>
  <si>
    <t>დღგ ჩასათვლელი თანხის კორექტირებით</t>
  </si>
  <si>
    <t>დღგ-ის თანხა საქონელზე/მომსახურებაზე, რომელიც ჩათვლილი იყო ადრე და ექვემდებარება აღდგენას</t>
  </si>
  <si>
    <t>დღგ-ის თანხა, რომელზეც ითვლება, რომ პირმა მიიღო ჩათვლა</t>
  </si>
  <si>
    <t>ჯამი</t>
  </si>
  <si>
    <t>სულ გამოანგარიშებულია ბიუჯეტში გადასახდელად (სტ.15-სტ.16, როცა სტ.15&gt;სტ.16)</t>
  </si>
  <si>
    <t>სულ გამოანგარიშებულია შესამცირებლად (სტ.16-სტ.15, როცა სტ.16&gt;სტ.15)</t>
  </si>
  <si>
    <t>ამოცანა #2</t>
  </si>
  <si>
    <t>მოგების გადასახადი</t>
  </si>
  <si>
    <t xml:space="preserve"> განსაზღვრეთ ამ ოპერაციების მიხედვით   მოგების გადასახადით  დასაბეგრი თანხა  და გადაიტანეთ მონაცემები დეკლარაციაში</t>
  </si>
  <si>
    <t>2.მიკრო ბიზნესის გადასახადის გადამხდელი</t>
  </si>
  <si>
    <t>ძრავის   შეკეთება</t>
  </si>
  <si>
    <t>მოწყობილობების იჯარა</t>
  </si>
  <si>
    <t>იბეგრება საშემოსავლო გადასახადით</t>
  </si>
  <si>
    <t xml:space="preserve">  </t>
  </si>
  <si>
    <t>3. სესხის გაცემა</t>
  </si>
  <si>
    <t>დაკავშირებულ რეზიდენტ იურიდიულ პირს-10000</t>
  </si>
  <si>
    <t>არარეზიდენტი იურიდიულ პირს-5000</t>
  </si>
  <si>
    <t>დამფუძნებელ ააიპ-ს-1700</t>
  </si>
  <si>
    <t>პოლონეთის შვილობილ საწარმოს -20000</t>
  </si>
  <si>
    <t>4.სესხის აღება და პროცენტის ხარჯის  დაბეგვრა</t>
  </si>
  <si>
    <t>მიღებული სესხი 100000, მოკავშირე საწარმოს   შპს "კაპი და ტალი"-ს ყუთვნილი დასაბეგრი  პროცენტი  100000* (30-24)%/12=500</t>
  </si>
  <si>
    <t xml:space="preserve"> 5. ჯარიმის/პირგასამტეხლოს გადახდა</t>
  </si>
  <si>
    <t>შპს "სოფლის პროდუქტი"-20000</t>
  </si>
  <si>
    <t>საერთაშორისო სამედიცინო ორგანიზაცია-5000</t>
  </si>
  <si>
    <t>გარემოსდაცვითი  დეპარტამენტი-1500</t>
  </si>
  <si>
    <t>6. უსასყიდლოდ  საქონლის მიწოდება</t>
  </si>
  <si>
    <t>საახალწლო საჩუქრების დარიგება  დამფუძნებლის ოჯახის  ბავშვებისთვის 500</t>
  </si>
  <si>
    <t>პრომო აქცია სარეკლამო მიზნებისათვის 500</t>
  </si>
  <si>
    <t>ააიპ "საავტომობილი ასოციაცია "GIRCA)</t>
  </si>
  <si>
    <t>7. ინვენტარიზაციის შედეგები</t>
  </si>
  <si>
    <t xml:space="preserve"> საწვავის დანაკლისი 1180/1.18=1000</t>
  </si>
  <si>
    <t>8. წარმომადგენლობითი ხარჯები</t>
  </si>
  <si>
    <t>250+1300+550+5300-(550000*1%)=1900</t>
  </si>
  <si>
    <t>9. აქციების შეძენა</t>
  </si>
  <si>
    <r>
      <t>3*20000</t>
    </r>
    <r>
      <rPr>
        <sz val="11"/>
        <color theme="1"/>
        <rFont val="Calibri"/>
        <family val="2"/>
      </rPr>
      <t>€*3=180000</t>
    </r>
  </si>
  <si>
    <t xml:space="preserve"> III ნაწილი</t>
  </si>
  <si>
    <t xml:space="preserve">                                      მოგების გადასახადის გაანგარიშება (ლარი)</t>
  </si>
  <si>
    <t>თანხა</t>
  </si>
  <si>
    <t>განაწილებული მოგება</t>
  </si>
  <si>
    <t>16.1</t>
  </si>
  <si>
    <t>განაწილებული დივიდენდი, მათ შორის:</t>
  </si>
  <si>
    <t>16.1.1</t>
  </si>
  <si>
    <t>2008 წლის 1 იანვრიდან 2017 წლის 1 იანვრამდე  საანგარიშო პერიოდებში მიღებული წმინდა მოგებიდან განაწილებული დივიდენდი</t>
  </si>
  <si>
    <t>16.1.2</t>
  </si>
  <si>
    <t>2017 წლის 1 იანვრიდან საქართველოს საგადასახადო კოდექსის 309-ე მუხლის 94-ე ნაწილით გათვალისწინებული პირის სტატუსის დაკარგვამდე იმ საანგარიშო პერიოდებში მიღებული წმინდა მოგებიდან განაწილებული დივიდენდი, როდესაც პირი მოგების გადასახადით იბეგრებოდა საქართველოს საგადასახადო კოდექსის 309-ე მუხლის 95-ე ნაწილით გათვალისწინებული დაბეგვრის ობიექტის მიხედვით</t>
  </si>
  <si>
    <t>16.2</t>
  </si>
  <si>
    <t>არარეზიდენტი საწარმოს მიერ მისი  მუდმივი
დაწესებულებისათვის მიკუთვნებული მოგების გატანა</t>
  </si>
  <si>
    <t>16.3</t>
  </si>
  <si>
    <t>ურთიერთდამოკიდებულ პირებთან (რომელიც მოგების გადასახადით არ იბეგრება საგადასახადო კოდექსის 97-ე მუხლის პირველი და მე-3 ნაწილებით გათვალისწინებული დაბეგვრის ობიექტების მიხედვით) განხორციელებული ოპერაცი(ებ)ის ფარგლებში გარიგების ფასსა და საბაზრო ფასს შორის სხვაობის თანხა, როდესაც მათი ურთიერთდამოკიდებულება გავლენას ახდენს გარიგების შედეგზე. კერძოდ:</t>
  </si>
  <si>
    <t>16.3.1</t>
  </si>
  <si>
    <t>გარიგების საბაზრო ფასსა და მიღებულ/მისაღებ შემოსავალს შორის სხვაობა, თუ გარიგების საბაზრო ფასი აღემატება მიღებულ/მისაღებ შემოსავალს</t>
  </si>
  <si>
    <t>16.3.2</t>
  </si>
  <si>
    <t>გარიგების შედეგად გაწეულ ხარჯსა და გარიგების საბაზრო ფასს შორის სხვაობა, თუ გარიგების შედეგად გაწეული ხარჯი აღემატება გარიგების საბაზრო ფასს</t>
  </si>
  <si>
    <t>16.4</t>
  </si>
  <si>
    <r>
      <t xml:space="preserve">საშემოსავლო გადასახადისაგან/მოგების გადასახადისაგან გათავისუფლებულ პირთან </t>
    </r>
    <r>
      <rPr>
        <b/>
        <sz val="10"/>
        <color indexed="8"/>
        <rFont val="Sylfaen"/>
        <family val="1"/>
      </rPr>
      <t>განხორციელებული ოპერაცი(ებ)ის ფარგლებში გარიგების ფასსა და საბაზრო ფასს შორის სხვაობის თანხა. კერძოდ:</t>
    </r>
  </si>
  <si>
    <t>16.4.1</t>
  </si>
  <si>
    <t>16.4.2</t>
  </si>
  <si>
    <t>16.5</t>
  </si>
  <si>
    <t>განხორციელებული კონტროლირებული ოპერაციის კორექტირების თანხა, თუ ამ ოპერაციის დადგენილი პირობები არ შეესაბამება საბაზრო პრინციპს</t>
  </si>
  <si>
    <r>
      <rPr>
        <b/>
        <u/>
        <sz val="10"/>
        <color indexed="8"/>
        <rFont val="Sylfaen"/>
        <family val="1"/>
      </rPr>
      <t xml:space="preserve">ხარჯი, </t>
    </r>
    <r>
      <rPr>
        <b/>
        <sz val="10"/>
        <color indexed="8"/>
        <rFont val="Sylfaen"/>
        <family val="1"/>
      </rPr>
      <t>რომელიც საქართველოს საგადასახადო კოდექსის  98² მუხლის მიხედვით არ მიეკუთვნება  ეკონომიკურ საქმიანობასთან დაკავშირებულს, მათ შორის:</t>
    </r>
  </si>
  <si>
    <t>17.1</t>
  </si>
  <si>
    <t>დოკუმენტურად დაუდასტურებელი ხარჯი</t>
  </si>
  <si>
    <t>17.2</t>
  </si>
  <si>
    <t>ხარჯი, რომლის გაწევის მიზანი არ არის მოგების, შემოსავლის ან კომპენსაციის მიღება;</t>
  </si>
  <si>
    <t>17.3</t>
  </si>
  <si>
    <t>სხვა ხარჯი</t>
  </si>
  <si>
    <r>
      <rPr>
        <b/>
        <u/>
        <sz val="10"/>
        <color indexed="8"/>
        <rFont val="Sylfaen"/>
        <family val="1"/>
      </rPr>
      <t>გადახდები,</t>
    </r>
    <r>
      <rPr>
        <b/>
        <sz val="10"/>
        <color indexed="8"/>
        <rFont val="Sylfaen"/>
        <family val="1"/>
      </rPr>
      <t xml:space="preserve"> რომელიც საქართველოს საგადასახადო კოდექსის  98² მუხლის მიხედვით არ მიეკუთვნება  ეკონომიკურ საქმიანობასთან დაკავშირებულს, მათ შორის:</t>
    </r>
  </si>
  <si>
    <t>18.1</t>
  </si>
  <si>
    <t>შეღავათიანი დაბეგვრის მქონე ქვეყანაში რეგისტრირებული  ან/და საქართველოს საგადასახადო კოდექსის შესაბამისად მოგების გადასახადისგან გათავისუფლებული:</t>
  </si>
  <si>
    <t>18.1.1</t>
  </si>
  <si>
    <r>
      <rPr>
        <sz val="11"/>
        <color theme="1"/>
        <rFont val="Sylfaen"/>
        <family val="1"/>
      </rPr>
      <t>პირისათვის</t>
    </r>
    <r>
      <rPr>
        <sz val="9"/>
        <color theme="1"/>
        <rFont val="Sylfaen"/>
        <family val="1"/>
      </rPr>
      <t xml:space="preserve"> </t>
    </r>
    <r>
      <rPr>
        <sz val="11"/>
        <color indexed="8"/>
        <rFont val="Sylfaen"/>
        <family val="1"/>
      </rPr>
      <t>განხორციელებული გადახდა, რომელიც უკავშირდება მათ მიერ გამოშვებული სასესხო ფასიანი ქაღალდის შეძენას</t>
    </r>
  </si>
  <si>
    <t>18.1.2</t>
  </si>
  <si>
    <r>
      <t xml:space="preserve">პირისათვის </t>
    </r>
    <r>
      <rPr>
        <sz val="11"/>
        <color indexed="8"/>
        <rFont val="Sylfaen"/>
        <family val="1"/>
      </rPr>
      <t>გადახდილი, სახელშეკრულებო ურთიერთობიდან წარმოშობილი პირგასამტეხლო ან/და სხვა ჯარიმა</t>
    </r>
  </si>
  <si>
    <t>18.1.3</t>
  </si>
  <si>
    <r>
      <t xml:space="preserve">პირისათვის </t>
    </r>
    <r>
      <rPr>
        <sz val="11"/>
        <color indexed="8"/>
        <rFont val="Sylfaen"/>
        <family val="1"/>
      </rPr>
      <t>გადახდილი ავანსი</t>
    </r>
  </si>
  <si>
    <t>18.1.4</t>
  </si>
  <si>
    <r>
      <t xml:space="preserve">პირისათვის </t>
    </r>
    <r>
      <rPr>
        <sz val="11"/>
        <color indexed="8"/>
        <rFont val="Sylfaen"/>
        <family val="1"/>
      </rPr>
      <t>სესხის გაცემა ან/და ამ პირის მიმართ არსებული მოთხოვნის შესაძენად განხორციელებული გადახდა</t>
    </r>
  </si>
  <si>
    <t>18.1.5</t>
  </si>
  <si>
    <r>
      <t xml:space="preserve">პირისათვის </t>
    </r>
    <r>
      <rPr>
        <sz val="11"/>
        <color indexed="8"/>
        <rFont val="Sylfaen"/>
        <family val="1"/>
      </rPr>
      <t>მოთხოვნის უფლების გადაცემით ან მოთხოვნის უფლებაზე უარის თქმით წარმოშობილი ზარალი</t>
    </r>
  </si>
  <si>
    <t>18.2</t>
  </si>
  <si>
    <r>
      <t xml:space="preserve">არარეზიდენტის ან/და  საქართველოს საგადასახადო კოდექსის შესაბამისად მოგების გადასახადისგან გათავისუფლებული პირის კაპიტალში </t>
    </r>
    <r>
      <rPr>
        <sz val="11"/>
        <color indexed="8"/>
        <rFont val="Sylfaen"/>
        <family val="1"/>
      </rPr>
      <t>შენატანი ან აქციის/წილის შესაძენად განხორციელებული გადახდა</t>
    </r>
  </si>
  <si>
    <t>18.3</t>
  </si>
  <si>
    <t>ფიზიკური პირისათვის ან არარეზიდენტისათვის სესხის გაცემა ან/და პარტნიორი ფიზიკური პირის ან პარტნიორი არარეზიდენტის მიერ მესამე პირისაგან აღებული სესხის საბანკო ანგარიშზე განთავსებული ფულადი სახსრებით უზრუნველყოფა</t>
  </si>
  <si>
    <t>18.4</t>
  </si>
  <si>
    <t>კომერციული ბანკის, საკრედიტო კავშირის, მიკროსაფინანსო ორგანიზაციის ან ლომბარდის მიერ პარტნიორ არარეზიდენტზე ან/და საგადასახადო კოდექსის შესაბამისად მოგების გადასახადისაგან გათავისუფლებულ პარტნიორზე ან/და კაპიტალში არანაკლებ 1 პროცენტით მონაწილეობის უფლების მქონე პარტნიორ ფიზიკურ პირზე სესხის გაცემა ან/და პარტნიორის მიერ მესამე პირისაგან აღებული სესხის საბანკო ანგარიშზე განთავსებული ფულადი სახსრებით უზრუნველყოფა</t>
  </si>
  <si>
    <t>19</t>
  </si>
  <si>
    <t>საქონლის მომსახურების უსასყიდლო მიწოდება/გაწევა, ფულადი სახსრების  გადაცემა, მათ შორის:</t>
  </si>
  <si>
    <t>19.1</t>
  </si>
  <si>
    <t>სასაქონლო-მატერიალური ფასეულობის ან/და ძირითადი საშუალების დანაკლისი</t>
  </si>
  <si>
    <t>წარმომადგენლობითი ხარჯი, რომელიც აღემატება საქართველოს საგადასახადო კოდექსით განსაზღვრულ ზღვრულ ოდენობას</t>
  </si>
  <si>
    <t>სულ დაბეგვრის ობიექტის თანხა</t>
  </si>
  <si>
    <t>მოგების გადასახადისგან გათავისუფლებული მოგების განაწილება, გაწეული ხარჯი, განხორციელებული განაცემი</t>
  </si>
  <si>
    <t>მოგების გადასახადით დასაბეგრი თანხა ((სტ.21-სტ.22)/0,85)</t>
  </si>
  <si>
    <t>მოგების გადასახადი (სტ.23*15%)</t>
  </si>
  <si>
    <t>გადახდილი მოგების გადასახადი, რომელიც ექვემდებარება ჩათვლას, მათ შორის:</t>
  </si>
  <si>
    <t>25.1</t>
  </si>
  <si>
    <r>
      <t xml:space="preserve">2008 წლის 1 იანვრიდან 2017 წლის 1 იანვრამდე მიღებული წმინდა მოგებიდან დივიდენდის განაწილებისას ამავე საანგარიშო პერიოდების მიხედვით დარიცხული და გადახდილი მოგების გადასახადის თანხა (დანართი N1-ის სტ. 5), მაგრამ არაუმეტეს 16.1.1 სტრიქონში ასახული მონაცემის შესაბამისად გამოანგარიშებული მოგების გადასახადის თანხისა </t>
    </r>
    <r>
      <rPr>
        <u/>
        <sz val="11"/>
        <color indexed="60"/>
        <rFont val="Calibri"/>
        <family val="2"/>
      </rPr>
      <t/>
    </r>
  </si>
  <si>
    <t>25.2</t>
  </si>
  <si>
    <t>უცხოეთში გადახდილი გადასახადის ჩასათვლელი თანხა - წყაროსთან დაკავებული ან გადახდილი გადასახადის თანხა, რომელიც გამოანგარიშებული იქნებოდა საქართველოში აღნიშნულ შემოსავალზე და რომელიც არ აღემატება  16.1 სტრიქონით გაანგარიშებულ მოგების გადასახადის თანხასა და 25.1 სტრიქონში ასახულ მონაცემებს შორის სხვაობით მიღებულ თანხას</t>
  </si>
  <si>
    <t>25.3</t>
  </si>
  <si>
    <t>2017 წლის 1 იანვრიდან საქართველოს საგადასახადო კოდექსის 309-ე მუხლის 94-ე ნაწილით გათვალისწინებული პირის სტატუსის დაკარგვამდე საანგარიშო პერიოდებში მიღებული წმინდა მოგების განაწილებისას ამ პერიოდების მიხედვით დარიცხული და გადახდილი მოგების გადასახადის  თანხა (დანართი N1³, სტ.5), მაგრამ არაუმეტეს 16.1.2   სტრიქონში   ასახული   მონაცემის   შესაბამისად   გამოანგარიშებული მოგების გადასახადის თანხისა</t>
  </si>
  <si>
    <t xml:space="preserve">მოგების გადასახადი სტ.25-ის გათვალისწინებით </t>
  </si>
  <si>
    <t xml:space="preserve">შესამცირებელი (დასაბრუნებელი) მოგების გადასახადი
 ((სტ. 27.1+სტ.27.2+სტ.27.3)/0.85*15%)
</t>
  </si>
  <si>
    <t>27.1</t>
  </si>
  <si>
    <t xml:space="preserve">შეძენილი სასესხო ფასიანი ქაღალდის, კაპიტალში მონაწილეობის უფლების (აქციის/წილის) ან მოთხოვნის მიწოდების შედეგად  საანგარიშო პერიოდში ანაზღაურებული თანხა (ფაქტობრივად მიღებული თანხა) </t>
  </si>
  <si>
    <t>27.2</t>
  </si>
  <si>
    <t>გაცემული სესხის/გადახდილი ავანსის  დაბრუნებული თანხა ან გადახდილი ავანსის სანაცვლოდ მიღებული საქონლის/მომსახურების საკომპენსაციო თანხა საანგარიშო პერიოდში</t>
  </si>
  <si>
    <t>27.3</t>
  </si>
  <si>
    <t>სესხის საბანკო ანგარიშზე განთავსებული ფულადი სახსრებით უზრუნველყოფის გაუქმებისას  უზრუნველყოფის გაუქმების საანგარიშო პერიოდში გაუქმებული საბანკო ანგარიშზე განთავსებული ფულადი სახსრებით უზრუნველყოფის თანხა</t>
  </si>
  <si>
    <t>კუთვნილი მოგების გადასახადი</t>
  </si>
  <si>
    <t>დაბრუნებას დაქვემდებარებული მოგების გადასახადი</t>
  </si>
  <si>
    <t>დანართი 1</t>
  </si>
  <si>
    <t>2008 წლის 1 იანვრიდან 2017 წლის 1 იანვრამდე მიღებული წმინდა მოგებიდან დივიდენდის განაწილებისას ამავე საანგარიშო პერიოდების მიხედვით დარიცხული და გადახდილი მოგების გადასახადის თანხა, რომელიც ექვემდებარება ჩათვლას</t>
  </si>
  <si>
    <t>N</t>
  </si>
  <si>
    <t>შინაარსი</t>
  </si>
  <si>
    <t>საანგარიშო პერიოდში დივიდენდის სახით განაწილებული თანხის ოდენობა, რომელიც ექვემდებარება დაბეგვრას ( III ნაწილის სტ. 16.1.1 )</t>
  </si>
  <si>
    <t>2008 წლის 1 იანვრიდან 2017 წლის 1 იანვრამდე საანგარიშო პერიოდების მიხედვით დარიცხული და გადახდილი მოგების გადასახადის თანხა</t>
  </si>
  <si>
    <t>2008 წლის 1 იანვრიდან 2017 წლის 1 იანვრამდე საანგარიშო პერიოდებში  მიღებული წმინდა მოგების ოდენობა</t>
  </si>
  <si>
    <t>2008 წლის 1 იანვრიდან 2017 წლის 1 იანვრამდე საანგარიშო პერიოდებში  მიღებული წმინდა მოგების ხარჯზე დივიდენდის სანაცვლოდ საწარმოს მიერ პარტნიორისათვის გადაცემული ამ საწარმოს აქციების/წილის ღირებულება</t>
  </si>
  <si>
    <t>ჩასათვლელი თანხა (სტ.1*სტ.2/(სტ.3-სტ.4))</t>
  </si>
  <si>
    <t>ჩასათვლელი მოგების გადასახადის ზღვრული თანხა</t>
  </si>
  <si>
    <r>
      <t>დანართი 1</t>
    </r>
    <r>
      <rPr>
        <b/>
        <vertAlign val="superscript"/>
        <sz val="10"/>
        <color theme="1"/>
        <rFont val="Sylfaen"/>
        <family val="1"/>
      </rPr>
      <t>2</t>
    </r>
  </si>
  <si>
    <t>შესამცირებელი (დასაბრუნებელი) მოგების გადასახადის გაანგარიშება</t>
  </si>
  <si>
    <r>
      <t>საანგარიშო</t>
    </r>
    <r>
      <rPr>
        <sz val="10"/>
        <color indexed="8"/>
        <rFont val="Sylfaen"/>
        <family val="1"/>
      </rPr>
      <t xml:space="preserve"> პერიოდი, რომელშიც დაიბეგრა თანხა</t>
    </r>
  </si>
  <si>
    <r>
      <t>შესაბამისი</t>
    </r>
    <r>
      <rPr>
        <sz val="10"/>
        <color indexed="8"/>
        <rFont val="Sylfaen"/>
        <family val="1"/>
      </rPr>
      <t xml:space="preserve"> დეკლარაციის გრაფა, რომელშიც დაიბეგრა თანხა</t>
    </r>
    <r>
      <rPr>
        <b/>
        <sz val="10"/>
        <color indexed="8"/>
        <rFont val="Sylfaen"/>
        <family val="1"/>
      </rPr>
      <t xml:space="preserve"> </t>
    </r>
  </si>
  <si>
    <r>
      <t>დაბეგრილი</t>
    </r>
    <r>
      <rPr>
        <sz val="10"/>
        <color indexed="8"/>
        <rFont val="Sylfaen"/>
        <family val="1"/>
      </rPr>
      <t xml:space="preserve"> თანხა, რომლის შესაბამისი მოგების გადასახადიც ექვემდებარება შემცირებას (დაბრუნებას)</t>
    </r>
  </si>
  <si>
    <t>სექტემბერი 2025</t>
  </si>
  <si>
    <t>ნოემბერი2024</t>
  </si>
  <si>
    <t>დანართი 3</t>
  </si>
  <si>
    <t>საანგარიშო პერიოდის საწყისი ნაშთი</t>
  </si>
  <si>
    <t>ზრდა საანგარიშო პერიოდში</t>
  </si>
  <si>
    <t>შემცირება საანგარიშო პერიოდში</t>
  </si>
  <si>
    <t>საანგარიშო პერიოდის საბოლოო ნაშთი</t>
  </si>
  <si>
    <t>სულ</t>
  </si>
  <si>
    <t>მათ შორის, გადაფასება</t>
  </si>
  <si>
    <t>გაცემული სესხ(ებ)ი</t>
  </si>
  <si>
    <t>მიღებული სესხ(ებ)ი</t>
  </si>
  <si>
    <t>საწარმოს კაპიტალი</t>
  </si>
  <si>
    <t>სხვა საწარმოში რიცხული კაპიტალი</t>
  </si>
  <si>
    <t>ხელფასის დარიცხვის უწყისი N 12</t>
  </si>
  <si>
    <t>2023 წლის  დეკემბერი</t>
  </si>
  <si>
    <t>#</t>
  </si>
  <si>
    <t>gvari, saxeli</t>
  </si>
  <si>
    <t>daricxulia xelfasi</t>
  </si>
  <si>
    <t>daricxulia sxva  sargebeli</t>
  </si>
  <si>
    <t>daricxulia sul (3+4)</t>
  </si>
  <si>
    <t>daricxulia saangariSo periodamde</t>
  </si>
  <si>
    <r>
      <t>dakavebuli sapensio Senatani</t>
    </r>
    <r>
      <rPr>
        <u/>
        <sz val="9"/>
        <color rgb="FF008080"/>
        <rFont val="AcadNusx"/>
      </rPr>
      <t xml:space="preserve"> (3.3)</t>
    </r>
  </si>
  <si>
    <r>
      <t>saSemosavlo gadasaxadiT dasabegri Semosavali</t>
    </r>
    <r>
      <rPr>
        <u/>
        <sz val="9"/>
        <color rgb="FF008080"/>
        <rFont val="AcadNusx"/>
      </rPr>
      <t xml:space="preserve"> (3.1)</t>
    </r>
  </si>
  <si>
    <r>
      <t>dakavebuli saSemosavlo gadasaxadi</t>
    </r>
    <r>
      <rPr>
        <u/>
        <sz val="9"/>
        <color rgb="FF008080"/>
        <rFont val="AcadNusx"/>
      </rPr>
      <t xml:space="preserve"> (3.2)</t>
    </r>
  </si>
  <si>
    <t>dakavebulia winaswar gadaxdili Tanxa</t>
  </si>
  <si>
    <t>dakavebulia sul (7+9+10)</t>
  </si>
  <si>
    <r>
      <t>eqvemdebareba xelze gacemas (5-7-11)</t>
    </r>
    <r>
      <rPr>
        <u/>
        <sz val="9"/>
        <color rgb="FF008080"/>
        <rFont val="AcadNusx"/>
      </rPr>
      <t xml:space="preserve"> (3.2)</t>
    </r>
  </si>
  <si>
    <t>შემოსავალი</t>
  </si>
  <si>
    <t>გადასახადი და გაკავება</t>
  </si>
  <si>
    <t>თ. აბაშიძე</t>
  </si>
  <si>
    <t>ზ. ბაბუხაძე</t>
  </si>
  <si>
    <t>ნ. ჩოხელი</t>
  </si>
  <si>
    <t>კ. მანუკიანი</t>
  </si>
  <si>
    <t>ე. დუჩიძე</t>
  </si>
  <si>
    <t>ი. ვარაზი</t>
  </si>
  <si>
    <t>ლ. ზარნაძე</t>
  </si>
  <si>
    <t>კ. მანუკიანი იჯარის მომსახურება</t>
  </si>
  <si>
    <t>შენიშვნა:</t>
  </si>
  <si>
    <t>თითოეული დაქირავებული პირის შემოსავლისა და დაკავებული თანხების (ხელზე გაცემის)  სწორი ქულა ფასდება 0.5 ქულით. ჯამში 7 ქულა</t>
  </si>
  <si>
    <t>ხელფასი</t>
  </si>
  <si>
    <t>იჯარა</t>
  </si>
  <si>
    <t>დივიდენდი:</t>
  </si>
  <si>
    <t>დამფუძნებელი ფიზიკური პირი</t>
  </si>
  <si>
    <t>არარეზიდინტი იურიდიული პირი (ომანი)</t>
  </si>
  <si>
    <r>
      <rPr>
        <sz val="9"/>
        <color theme="1"/>
        <rFont val="Times New Roman"/>
        <family val="1"/>
      </rPr>
      <t> ა.ა.(ი)</t>
    </r>
    <r>
      <rPr>
        <sz val="9"/>
        <color theme="1"/>
        <rFont val="Sylfaen"/>
        <family val="1"/>
      </rPr>
      <t>.პ. „GIRCA“</t>
    </r>
  </si>
  <si>
    <t>თიზ-ის საწარმო</t>
  </si>
  <si>
    <t>ნანსყანი 2551.02-51.02</t>
  </si>
  <si>
    <t>ძრავის რემონტი</t>
  </si>
  <si>
    <t>მომსახურება</t>
  </si>
  <si>
    <t>აზერბაიჯანის კომპანია</t>
  </si>
  <si>
    <t>ამოცანა #1/1</t>
  </si>
  <si>
    <t>საშემოსავლო გადასახადი</t>
  </si>
  <si>
    <t xml:space="preserve">1.1 განსაზღვრეთ ი.ვარაზის   სარგებელი ბონუსის სახით და გადაიტანეთ მონაცემები ხელფასის დარიცხვის უწყისში </t>
  </si>
  <si>
    <t>სარგებელი</t>
  </si>
  <si>
    <t>(500*2%)=10    (500-10)=490*20%</t>
  </si>
  <si>
    <t>1.2 ლ. ზარნაძის ხელფასის დანამატის და დასაკავებელი თანხის განსაზღვრა</t>
  </si>
  <si>
    <t>1500*20%=300</t>
  </si>
  <si>
    <t>დასაკავებელი ჯარიმა 400</t>
  </si>
  <si>
    <t>ჯარიმა</t>
  </si>
  <si>
    <r>
      <rPr>
        <b/>
        <sz val="11"/>
        <color theme="1"/>
        <rFont val="Times New Roman"/>
        <family val="1"/>
      </rPr>
      <t>1.3</t>
    </r>
    <r>
      <rPr>
        <sz val="7"/>
        <color theme="1"/>
        <rFont val="Times New Roman"/>
        <family val="1"/>
      </rPr>
      <t xml:space="preserve">  </t>
    </r>
    <r>
      <rPr>
        <b/>
        <sz val="11"/>
        <color theme="1"/>
        <rFont val="Sylfaen"/>
        <family val="1"/>
      </rPr>
      <t>განსაზღვრეთ დაქირავებული პირის სარგებელი და გადაიტანეთ მონაცემები ხელფასის დარიცხვის უწყისში (ვალის პატიება ე. დუჩიძე)</t>
    </r>
  </si>
  <si>
    <t>{10000+(10000*(20-10%)}/0.8</t>
  </si>
  <si>
    <t>13750*20%=2750</t>
  </si>
  <si>
    <r>
      <rPr>
        <b/>
        <sz val="9"/>
        <color theme="1"/>
        <rFont val="Times New Roman"/>
        <family val="1"/>
      </rPr>
      <t> 1.4</t>
    </r>
    <r>
      <rPr>
        <sz val="7"/>
        <color theme="1"/>
        <rFont val="Times New Roman"/>
        <family val="1"/>
      </rPr>
      <t xml:space="preserve"> </t>
    </r>
    <r>
      <rPr>
        <b/>
        <sz val="11"/>
        <color theme="1"/>
        <rFont val="Sylfaen"/>
        <family val="1"/>
      </rPr>
      <t>განსაზღვრეთ დაქირავებული პირების სარგებელი და გადაიტანეთ მონაცემები ხელფასის დარიცხვის უწკისში (ყველა თანამშრომელზე)</t>
    </r>
  </si>
  <si>
    <t>45*2%=0.90    [45-(45*2%)]*20%</t>
  </si>
  <si>
    <t>საშემოსავლო გადასახადი (გარდა ლ.ზარნაძესა)</t>
  </si>
  <si>
    <t>45*20%=9</t>
  </si>
  <si>
    <t>ლ. ზარნაძეს საშემოსავლო გადასახადი</t>
  </si>
  <si>
    <r>
      <rPr>
        <b/>
        <sz val="7"/>
        <color theme="1"/>
        <rFont val="Times New Roman"/>
        <family val="1"/>
      </rPr>
      <t> </t>
    </r>
    <r>
      <rPr>
        <b/>
        <sz val="9"/>
        <color theme="1"/>
        <rFont val="Sylfaen"/>
        <family val="1"/>
      </rPr>
      <t>1.5</t>
    </r>
    <r>
      <rPr>
        <sz val="7"/>
        <color theme="1"/>
        <rFont val="Times New Roman"/>
        <family val="1"/>
      </rPr>
      <t xml:space="preserve"> </t>
    </r>
    <r>
      <rPr>
        <b/>
        <sz val="11"/>
        <color theme="1"/>
        <rFont val="Sylfaen"/>
        <family val="1"/>
      </rPr>
      <t>განსაზღვრეთ</t>
    </r>
    <r>
      <rPr>
        <b/>
        <sz val="11"/>
        <color theme="1"/>
        <rFont val="ArialUnicodeMS"/>
      </rPr>
      <t xml:space="preserve"> </t>
    </r>
    <r>
      <rPr>
        <b/>
        <sz val="11"/>
        <color theme="1"/>
        <rFont val="Sylfaen"/>
        <family val="1"/>
      </rPr>
      <t>ამ</t>
    </r>
    <r>
      <rPr>
        <b/>
        <sz val="11"/>
        <color theme="1"/>
        <rFont val="ArialUnicodeMS"/>
      </rPr>
      <t xml:space="preserve"> </t>
    </r>
    <r>
      <rPr>
        <b/>
        <sz val="11"/>
        <color theme="1"/>
        <rFont val="Sylfaen"/>
        <family val="1"/>
      </rPr>
      <t>ოპერაციის</t>
    </r>
    <r>
      <rPr>
        <b/>
        <sz val="11"/>
        <color theme="1"/>
        <rFont val="ArialUnicodeMS"/>
      </rPr>
      <t xml:space="preserve"> </t>
    </r>
    <r>
      <rPr>
        <b/>
        <sz val="11"/>
        <color theme="1"/>
        <rFont val="Sylfaen"/>
        <family val="1"/>
      </rPr>
      <t>შედეგად</t>
    </r>
    <r>
      <rPr>
        <b/>
        <sz val="11"/>
        <color theme="1"/>
        <rFont val="ArialUnicodeMS"/>
      </rPr>
      <t xml:space="preserve"> </t>
    </r>
    <r>
      <rPr>
        <b/>
        <sz val="11"/>
        <color theme="1"/>
        <rFont val="Sylfaen"/>
        <family val="1"/>
      </rPr>
      <t>კ.მანუკიანის</t>
    </r>
    <r>
      <rPr>
        <b/>
        <sz val="11"/>
        <color theme="1"/>
        <rFont val="ArialUnicodeMS"/>
      </rPr>
      <t xml:space="preserve"> </t>
    </r>
    <r>
      <rPr>
        <b/>
        <sz val="11"/>
        <color theme="1"/>
        <rFont val="Sylfaen"/>
        <family val="1"/>
      </rPr>
      <t>მიერ</t>
    </r>
    <r>
      <rPr>
        <b/>
        <sz val="11"/>
        <color theme="1"/>
        <rFont val="ArialUnicodeMS"/>
      </rPr>
      <t xml:space="preserve"> </t>
    </r>
    <r>
      <rPr>
        <b/>
        <sz val="11"/>
        <color theme="1"/>
        <rFont val="Sylfaen"/>
        <family val="1"/>
      </rPr>
      <t>მიღებული</t>
    </r>
    <r>
      <rPr>
        <b/>
        <sz val="11"/>
        <color theme="1"/>
        <rFont val="ArialUnicodeMS"/>
      </rPr>
      <t xml:space="preserve"> </t>
    </r>
    <r>
      <rPr>
        <b/>
        <sz val="11"/>
        <color theme="1"/>
        <rFont val="Sylfaen"/>
        <family val="1"/>
      </rPr>
      <t>სარგებელი</t>
    </r>
    <r>
      <rPr>
        <b/>
        <sz val="11"/>
        <color theme="1"/>
        <rFont val="ArialUnicodeMS"/>
      </rPr>
      <t xml:space="preserve"> </t>
    </r>
    <r>
      <rPr>
        <b/>
        <sz val="11"/>
        <color theme="1"/>
        <rFont val="Sylfaen"/>
        <family val="1"/>
      </rPr>
      <t>და გადაიტანეთ მონაცემები ხელფასის დარიცხვის უწყისში</t>
    </r>
  </si>
  <si>
    <r>
      <t xml:space="preserve">              მგზავრობა (ავტომანქანის იჯარა 6*50)=300 </t>
    </r>
    <r>
      <rPr>
        <sz val="9"/>
        <color theme="1"/>
        <rFont val="Calibri"/>
        <family val="2"/>
      </rPr>
      <t>₾</t>
    </r>
    <r>
      <rPr>
        <sz val="9"/>
        <color theme="1"/>
        <rFont val="Calibri"/>
        <family val="2"/>
        <scheme val="minor"/>
      </rPr>
      <t xml:space="preserve">           სასტუმროს ხარჯები - 120*6=720</t>
    </r>
    <r>
      <rPr>
        <sz val="9"/>
        <color theme="1"/>
        <rFont val="Calibri"/>
        <family val="2"/>
      </rPr>
      <t>$</t>
    </r>
    <r>
      <rPr>
        <sz val="9"/>
        <color theme="1"/>
        <rFont val="Calibri"/>
        <family val="2"/>
        <scheme val="minor"/>
      </rPr>
      <t xml:space="preserve">        სადღეღამისო ხარჯი 45*6=270$ </t>
    </r>
  </si>
  <si>
    <t>მივლინების ფაქტიური ხარჯი</t>
  </si>
  <si>
    <t>ა/მანქანის იჯარის ოპერაცია</t>
  </si>
  <si>
    <t>შემოსავალი იჯარიდან</t>
  </si>
  <si>
    <t>300*20%=60</t>
  </si>
  <si>
    <t>მივლინების ხარჯები:სასტუმროს ხარჯი-120*6*2.7=1944₾, სადღეღამისო ხარჯი-45*6*2.7=729</t>
  </si>
  <si>
    <t>სამივლინებო ხარჯი</t>
  </si>
  <si>
    <t>3000-(300+2673)=27</t>
  </si>
  <si>
    <t>27*2%=0.54              27-(27*2%)*20%=5.29</t>
  </si>
  <si>
    <t>2.1 გადახდილი დივიდენდის დაბეგვრა</t>
  </si>
  <si>
    <t>1000*5%=50</t>
  </si>
  <si>
    <t>არარეზიდენტი იურიდიული პირიი პირი (ომანი)</t>
  </si>
  <si>
    <t>5000*5%=250</t>
  </si>
  <si>
    <t>ააიპ "GIRCA"</t>
  </si>
  <si>
    <t>700*5%=85</t>
  </si>
  <si>
    <t>2000*0%=0</t>
  </si>
  <si>
    <t>2.2 განსაზღვრეთ ამ ოპერაციის მიხედვით დასაბეგრი სარგებელი, საშემოსავლო გადასახადის სიდიდე და გადაიტანეთ მონაცემები დეკლარაციაში (დ. ნანსყანი).</t>
  </si>
  <si>
    <t>2000/.98/.8=2551.02</t>
  </si>
  <si>
    <t>2551.02*2%=51.02</t>
  </si>
  <si>
    <t>ანარიცხი საპენსიო ფონდში</t>
  </si>
  <si>
    <t>(2551.02-51.2)=2500*20%=500</t>
  </si>
  <si>
    <t xml:space="preserve">2.3  განსაზღვრეთ ამ ოპერაციის მიხედვით დასაბეგრი სარგებელი, საშემოსავლო გადასახადის სიდიდე და გადაიტანეთ მონაცემები დეკლარაციაში (ძრავის რემონტი)
</t>
  </si>
  <si>
    <r>
      <t>5000</t>
    </r>
    <r>
      <rPr>
        <sz val="11"/>
        <color theme="1"/>
        <rFont val="Calibri"/>
        <family val="2"/>
      </rPr>
      <t>€*2.92=14600</t>
    </r>
  </si>
  <si>
    <t>14600*10%=1460</t>
  </si>
  <si>
    <t xml:space="preserve">2.4  განსაზღვრეთ ამ ოპერაციის მიხედვით დასაბეგრი სარგებელი, საშემოსავლო გადასახადის სიდიდე და გადაიტანეთ მონაცემები დეკლარაციაში. (მომსახურების ანაზღაურება-აზერბაიჯანის კომრანია)
</t>
  </si>
  <si>
    <t xml:space="preserve">   </t>
  </si>
  <si>
    <t>8500/0.9*1.7=16056</t>
  </si>
  <si>
    <t>16056*10%=1605.56</t>
  </si>
  <si>
    <r>
      <t xml:space="preserve">ამოცანა N 1.   </t>
    </r>
    <r>
      <rPr>
        <b/>
        <sz val="10"/>
        <color rgb="FF008080"/>
        <rFont val="Sylfaen"/>
        <family val="1"/>
      </rPr>
      <t>გადახდის</t>
    </r>
    <r>
      <rPr>
        <b/>
        <sz val="10"/>
        <color rgb="FF008080"/>
        <rFont val="LitMtavrPS"/>
      </rPr>
      <t xml:space="preserve"> </t>
    </r>
    <r>
      <rPr>
        <b/>
        <sz val="10"/>
        <color rgb="FF008080"/>
        <rFont val="Sylfaen"/>
        <family val="1"/>
      </rPr>
      <t>წყაროსთან</t>
    </r>
    <r>
      <rPr>
        <b/>
        <sz val="10"/>
        <color rgb="FF008080"/>
        <rFont val="LitMtavrPS"/>
      </rPr>
      <t xml:space="preserve"> </t>
    </r>
    <r>
      <rPr>
        <b/>
        <sz val="10"/>
        <color rgb="FF008080"/>
        <rFont val="Sylfaen"/>
        <family val="1"/>
      </rPr>
      <t>დაკავებული</t>
    </r>
    <r>
      <rPr>
        <b/>
        <sz val="10"/>
        <color rgb="FF008080"/>
        <rFont val="LitMtavrPS"/>
      </rPr>
      <t xml:space="preserve"> </t>
    </r>
    <r>
      <rPr>
        <b/>
        <sz val="10"/>
        <color rgb="FF008080"/>
        <rFont val="Sylfaen"/>
        <family val="1"/>
      </rPr>
      <t>გადასახადის  დეკლარაცია</t>
    </r>
    <r>
      <rPr>
        <b/>
        <sz val="10"/>
        <color rgb="FF008080"/>
        <rFont val="LitMtavrPS"/>
      </rPr>
      <t xml:space="preserve"> </t>
    </r>
  </si>
  <si>
    <r>
      <t xml:space="preserve">nawili III </t>
    </r>
    <r>
      <rPr>
        <sz val="9"/>
        <color rgb="FF008080"/>
        <rFont val="LitNusx"/>
      </rPr>
      <t>(adaptirebulia gamocdisTvis)</t>
    </r>
    <r>
      <rPr>
        <b/>
        <sz val="9"/>
        <color rgb="FF008080"/>
        <rFont val="Calibri"/>
        <family val="2"/>
        <scheme val="minor"/>
      </rPr>
      <t xml:space="preserve"> </t>
    </r>
  </si>
  <si>
    <t>ganacemis</t>
  </si>
  <si>
    <r>
      <t xml:space="preserve"> gadasaxadis </t>
    </r>
    <r>
      <rPr>
        <sz val="11"/>
        <color rgb="FF008080"/>
        <rFont val="Calibri"/>
        <family val="2"/>
        <scheme val="minor"/>
      </rPr>
      <t xml:space="preserve"> </t>
    </r>
    <r>
      <rPr>
        <sz val="9"/>
        <color rgb="FF008080"/>
        <rFont val="LitNusx"/>
      </rPr>
      <t>Tanxa</t>
    </r>
    <r>
      <rPr>
        <sz val="11"/>
        <color rgb="FF008080"/>
        <rFont val="Calibri"/>
        <family val="2"/>
        <scheme val="minor"/>
      </rPr>
      <t xml:space="preserve"> </t>
    </r>
  </si>
  <si>
    <r>
      <t>odenoba</t>
    </r>
    <r>
      <rPr>
        <sz val="11"/>
        <color rgb="FF008080"/>
        <rFont val="Calibri"/>
        <family val="2"/>
        <scheme val="minor"/>
      </rPr>
      <t xml:space="preserve"> </t>
    </r>
  </si>
  <si>
    <r>
      <t>daqiravebiT momuSave fizikur pirebze xelfasis/sargeblis (fuladi, naturaluri) saxiT gacemuli anazRaureba, maT Soris:</t>
    </r>
    <r>
      <rPr>
        <sz val="11"/>
        <color rgb="FF008080"/>
        <rFont val="Calibri"/>
        <family val="2"/>
        <scheme val="minor"/>
      </rPr>
      <t xml:space="preserve"> </t>
    </r>
  </si>
  <si>
    <r>
      <t>eqvemdebareba gadaxdis wyarosTan dabegvras (SeRavaTebis gamoklebiT)</t>
    </r>
    <r>
      <rPr>
        <sz val="11"/>
        <color rgb="FF008080"/>
        <rFont val="Calibri"/>
        <family val="2"/>
        <scheme val="minor"/>
      </rPr>
      <t xml:space="preserve"> </t>
    </r>
  </si>
  <si>
    <r>
      <t>rezidenti fizikuri pirebisTvis gadaxdili roialti</t>
    </r>
    <r>
      <rPr>
        <sz val="11"/>
        <color rgb="FF008080"/>
        <rFont val="Calibri"/>
        <family val="2"/>
        <scheme val="minor"/>
      </rPr>
      <t xml:space="preserve"> </t>
    </r>
  </si>
  <si>
    <t xml:space="preserve">gadasaxadis gadamxdelis mowmobis armqone fizikur pirebze gadaxdis wyarosTan dabegvras დაქვემდებარებული განაცემი (გარდა პროცენტისა) </t>
  </si>
  <si>
    <r>
      <t>romelic ibegreba 20%-iT</t>
    </r>
    <r>
      <rPr>
        <sz val="11"/>
        <color rgb="FF008080"/>
        <rFont val="Calibri"/>
        <family val="2"/>
        <scheme val="minor"/>
      </rPr>
      <t xml:space="preserve"> </t>
    </r>
  </si>
  <si>
    <r>
      <t>romelic ibegreba 5%-iT</t>
    </r>
    <r>
      <rPr>
        <sz val="11"/>
        <color rgb="FF008080"/>
        <rFont val="Calibri"/>
        <family val="2"/>
        <scheme val="minor"/>
      </rPr>
      <t xml:space="preserve"> </t>
    </r>
  </si>
  <si>
    <r>
      <t>aradaqiravebul fizikur pirebze gacemuli Tanxebi, romelic ar ukavSirdeba momsaxurebis anazRaurebas da amasTan, eqvemdebareba gadaxdis wyarosTan gadasaxadis dakavebas (garda dividendebisa da anabrebze gacemuli procentebisa)</t>
    </r>
    <r>
      <rPr>
        <sz val="9"/>
        <color rgb="FF008080"/>
        <rFont val="Calibri"/>
        <family val="2"/>
        <scheme val="minor"/>
      </rPr>
      <t xml:space="preserve"> </t>
    </r>
  </si>
  <si>
    <r>
      <t xml:space="preserve">fizikur pirebze gacemuli dividendebi, maT Soris: </t>
    </r>
    <r>
      <rPr>
        <sz val="11"/>
        <color rgb="FF008080"/>
        <rFont val="Calibri"/>
        <family val="2"/>
        <scheme val="minor"/>
      </rPr>
      <t xml:space="preserve"> </t>
    </r>
  </si>
  <si>
    <r>
      <t xml:space="preserve">fizikur pirebze gacemuli procentebi, maT Soris: </t>
    </r>
    <r>
      <rPr>
        <sz val="11"/>
        <color rgb="FF008080"/>
        <rFont val="Calibri"/>
        <family val="2"/>
        <scheme val="minor"/>
      </rPr>
      <t xml:space="preserve"> </t>
    </r>
  </si>
  <si>
    <r>
      <t>turistuli sawarmos mier sastumros aqtivebis/maTi nawilis mesakuTre fizikur pirze Sesabamisi xelSekrulebis safuZvelze gacemuli anazRaureba</t>
    </r>
    <r>
      <rPr>
        <sz val="9"/>
        <color rgb="FF008080"/>
        <rFont val="Calibri"/>
        <family val="2"/>
        <scheme val="minor"/>
      </rPr>
      <t xml:space="preserve"> </t>
    </r>
  </si>
  <si>
    <r>
      <t>mudmivi dawesebulebis armqone ararezident fizikur pirebze gaweuli momsaxurebisaTvis gacemuli anazRaureba, romelic eqvemdebareba gadaxdis wyarosTan dabegvras (garda procentebisa da dividendisa). maT Soris, ganacemi ssk 134-e muxlis pirveli nawilis:</t>
    </r>
    <r>
      <rPr>
        <b/>
        <sz val="9"/>
        <color rgb="FF008080"/>
        <rFont val="Calibri"/>
        <family val="2"/>
        <scheme val="minor"/>
      </rPr>
      <t xml:space="preserve"> </t>
    </r>
  </si>
  <si>
    <r>
      <t>`b</t>
    </r>
    <r>
      <rPr>
        <vertAlign val="superscript"/>
        <sz val="9"/>
        <color rgb="FF008080"/>
        <rFont val="LitNusx"/>
      </rPr>
      <t>1</t>
    </r>
    <r>
      <rPr>
        <sz val="9"/>
        <color rgb="FF008080"/>
        <rFont val="LitNusx"/>
      </rPr>
      <t>~ qvepunqtis (roialti) mixedviT (5%-iani ganakveTiT)</t>
    </r>
    <r>
      <rPr>
        <sz val="9"/>
        <color rgb="FF008080"/>
        <rFont val="Calibri"/>
        <family val="2"/>
        <scheme val="minor"/>
      </rPr>
      <t xml:space="preserve"> </t>
    </r>
  </si>
  <si>
    <r>
      <t>`g~ qvepunqtis (kavSirgabmuloba...) mixedviT (10%-iani ganakveTiT)</t>
    </r>
    <r>
      <rPr>
        <sz val="9"/>
        <color rgb="FF008080"/>
        <rFont val="Calibri"/>
        <family val="2"/>
        <scheme val="minor"/>
      </rPr>
      <t xml:space="preserve"> </t>
    </r>
  </si>
  <si>
    <r>
      <t>`d~ qvepunqtis (navTobi da gazi...) mixedviT (4%-iani ganakveTiT)</t>
    </r>
    <r>
      <rPr>
        <sz val="9"/>
        <color rgb="FF008080"/>
        <rFont val="Calibri"/>
        <family val="2"/>
        <scheme val="minor"/>
      </rPr>
      <t xml:space="preserve"> </t>
    </r>
  </si>
  <si>
    <t>`e~ qvepunqtis (sxvadasxva) mixedviT (10%-იანი განაკვეთით</t>
  </si>
  <si>
    <r>
      <t xml:space="preserve"> 1</t>
    </r>
    <r>
      <rPr>
        <vertAlign val="superscript"/>
        <sz val="9"/>
        <color rgb="FF008080"/>
        <rFont val="LitNusx"/>
      </rPr>
      <t>1</t>
    </r>
    <r>
      <rPr>
        <sz val="9"/>
        <color rgb="FF008080"/>
        <rFont val="LitNusx"/>
      </rPr>
      <t xml:space="preserve"> nawilis (15%iani ganakveTiT) </t>
    </r>
  </si>
  <si>
    <r>
      <t>mudmivi dawesebulebis armqone ararezident fizikur pirebze gaweuli momsaxurebisaTvis gacemuli anazRaureba (SeRavaTebis gamoklebiT), romelic eqvemdebareba gadaxdis wyarosTan dabegvras (garda procentebisa da dividendisa). maT Soris, ganacemi ssk 134-e muxlis pirveli nawilis:</t>
    </r>
    <r>
      <rPr>
        <b/>
        <sz val="9"/>
        <color rgb="FF008080"/>
        <rFont val="Calibri"/>
        <family val="2"/>
        <scheme val="minor"/>
      </rPr>
      <t xml:space="preserve"> </t>
    </r>
  </si>
  <si>
    <r>
      <t>`b</t>
    </r>
    <r>
      <rPr>
        <vertAlign val="superscript"/>
        <sz val="11"/>
        <color rgb="FF008080"/>
        <rFont val="LitNusx"/>
      </rPr>
      <t>1</t>
    </r>
    <r>
      <rPr>
        <sz val="11"/>
        <color rgb="FF008080"/>
        <rFont val="LitNusx"/>
      </rPr>
      <t>~ qvepunqtis (roialti) mixedviT (5%-iani ganakveTiT)</t>
    </r>
    <r>
      <rPr>
        <sz val="11"/>
        <color rgb="FF008080"/>
        <rFont val="Calibri"/>
        <family val="2"/>
        <scheme val="minor"/>
      </rPr>
      <t xml:space="preserve"> </t>
    </r>
  </si>
  <si>
    <r>
      <t>`g~ qvepunqtis (kavSirgabmuloba, საერთაშორისო გადაზიდვა...) mixedviT (10%-iani ganakveTiT)</t>
    </r>
    <r>
      <rPr>
        <sz val="11"/>
        <color rgb="FF008080"/>
        <rFont val="Calibri"/>
        <family val="2"/>
        <scheme val="minor"/>
      </rPr>
      <t xml:space="preserve"> </t>
    </r>
  </si>
  <si>
    <t>`d~ qvepunqtis (navTobi da gazi...) mixedviT (4%-iani) განაკვეთით</t>
  </si>
  <si>
    <t>`e~ qvepunqtis (sxvadasxva) mixedviT( 10-%-იანი განაკვეთით)</t>
  </si>
  <si>
    <r>
      <t>biujetSi gadasaxdeli wyarosTan dakavebuli saSemosavlo gadasaxadi (17,18,19,20,21,23,25,26,34-38  ujrebSi asaxuli Tanxebis Sesabamis sagadasaxado ganakveTebze namravlis jami)</t>
    </r>
    <r>
      <rPr>
        <sz val="9"/>
        <color rgb="FF008080"/>
        <rFont val="Calibri"/>
        <family val="2"/>
        <scheme val="minor"/>
      </rPr>
      <t xml:space="preserve"> </t>
    </r>
  </si>
  <si>
    <r>
      <t xml:space="preserve"> organizaciebze და საქართველოში მუდმივი დაწესებულების აქმქონე არარეზიდენტ საწარმოებზე  gadaxdis wyarosTan dabegvras daqvemdebarebuli ganacemebi. maT Soris: ganacemi ssk 134-e muxlis pirveli nawilis:</t>
    </r>
    <r>
      <rPr>
        <sz val="9"/>
        <color rgb="FF008080"/>
        <rFont val="Calibri"/>
        <family val="2"/>
        <scheme val="minor"/>
      </rPr>
      <t xml:space="preserve"> </t>
    </r>
  </si>
  <si>
    <t>`e~ qvepunqtis (sxvadasxva) mixedviT (105-იანი განაკვეთით</t>
  </si>
  <si>
    <r>
      <t>b) dividendebi (ganakveTi - 5%)</t>
    </r>
    <r>
      <rPr>
        <sz val="11"/>
        <color rgb="FF008080"/>
        <rFont val="Calibri"/>
        <family val="2"/>
        <scheme val="minor"/>
      </rPr>
      <t xml:space="preserve"> </t>
    </r>
  </si>
  <si>
    <r>
      <t>g) procentebi (ganakveTi - 5%)</t>
    </r>
    <r>
      <rPr>
        <sz val="11"/>
        <color rgb="FF008080"/>
        <rFont val="Calibri"/>
        <family val="2"/>
        <scheme val="minor"/>
      </rPr>
      <t xml:space="preserve"> </t>
    </r>
  </si>
  <si>
    <r>
      <t xml:space="preserve"> organizaciebze და საქართველოში მუდმივი დაწესებულების აქმქონე არარეზიდენტ საწარმოებზე  gadaxdis wyarosTan dabegvras daqvemdebarebuli ganacemebi (SeRavaTebis gamoklebiT), maT Soris, ganacemi ssk 134-e muxlis pirveli nawilis:</t>
    </r>
    <r>
      <rPr>
        <sz val="9"/>
        <color rgb="FF008080"/>
        <rFont val="Calibri"/>
        <family val="2"/>
        <scheme val="minor"/>
      </rPr>
      <t xml:space="preserve"> </t>
    </r>
  </si>
  <si>
    <r>
      <t>`g~ qvepunqtis (kavSirgabmuloba,saerTaSoriso gadazidva) mixedviT (10%-iani ganakveTiT)</t>
    </r>
    <r>
      <rPr>
        <sz val="11"/>
        <color rgb="FF008080"/>
        <rFont val="Calibri"/>
        <family val="2"/>
        <scheme val="minor"/>
      </rPr>
      <t xml:space="preserve"> </t>
    </r>
    <r>
      <rPr>
        <sz val="11"/>
        <color rgb="FF008080"/>
        <rFont val="LitNusx"/>
      </rPr>
      <t/>
    </r>
  </si>
  <si>
    <t>"დ" ქვეპუნქტის მიხედვით (დანაკვეთი 4%)</t>
  </si>
  <si>
    <t xml:space="preserve">"ე"ქვეპუნქტის (სხვადასხვა) მიხედვით (10%-iani ganakveTiT) </t>
  </si>
  <si>
    <r>
      <t>11 nawilis(roialti, sxvadasxva) mixedviT (15%iani ganakveTiT)</t>
    </r>
    <r>
      <rPr>
        <sz val="11"/>
        <color rgb="FF008080"/>
        <rFont val="Calibri"/>
        <family val="2"/>
        <scheme val="minor"/>
      </rPr>
      <t xml:space="preserve"> </t>
    </r>
  </si>
  <si>
    <t xml:space="preserve"> organizaciebze და საქართველოში მუდმივი დაწესებულების აrმქონე არარეზიდენტ საწარმოsaTvis dakavebuli biujetSi gadasaxdeli gadasaxadi (48-e - 55-e ujrebSi asaxuli Tanxebis  Sesabamis sagadasaxado ganakveTebze namravlis jami) </t>
  </si>
  <si>
    <t xml:space="preserve">sul biujetSi gadasaxdeli wyarosTan dakavebuli gadasaxadebis jami (str.39 + str.56) </t>
  </si>
  <si>
    <r>
      <t>informaciisTvis</t>
    </r>
    <r>
      <rPr>
        <b/>
        <sz val="12"/>
        <color rgb="FF008080"/>
        <rFont val="Sylfaen"/>
        <family val="1"/>
      </rPr>
      <t xml:space="preserve"> </t>
    </r>
  </si>
  <si>
    <r>
      <t>miwodebuli saqonlis/gaweuli momsaxurebis Rirebuleba</t>
    </r>
    <r>
      <rPr>
        <sz val="11"/>
        <color rgb="FF008080"/>
        <rFont val="Calibri"/>
        <family val="2"/>
        <scheme val="minor"/>
      </rPr>
      <t xml:space="preserve"> </t>
    </r>
  </si>
  <si>
    <r>
      <t>sameurneo operaciis ganxorcielebasTan dakavSirebuli xarji</t>
    </r>
    <r>
      <rPr>
        <sz val="11"/>
        <color rgb="FF008080"/>
        <rFont val="Calibri"/>
        <family val="2"/>
        <scheme val="minor"/>
      </rPr>
      <t xml:space="preserve"> </t>
    </r>
  </si>
  <si>
    <t>Y</t>
  </si>
  <si>
    <r>
      <t>sagadasaxado organos mier inventarizaciis Sedegad gamovlenili sasaqonlomaterialuri faseulobis danaklisis odenoba</t>
    </r>
    <r>
      <rPr>
        <sz val="9"/>
        <color rgb="FF008080"/>
        <rFont val="Calibri"/>
        <family val="2"/>
        <scheme val="minor"/>
      </rPr>
      <t xml:space="preserve"> </t>
    </r>
  </si>
  <si>
    <t>fizikur pirTa ricxovnoba, romlebzec gacemulia me-16 ujraSi asaxuli Tanxa</t>
  </si>
  <si>
    <r>
      <t>aradaqiravebul fizikur pirebze gacemuli Tanxebi, romelic ar ukavSirdeba momsaxurebis anazRaurebas da ar eqvemdebareba gadaxdis wyarosTan dabegvras</t>
    </r>
    <r>
      <rPr>
        <sz val="9"/>
        <color rgb="FF008080"/>
        <rFont val="Calibri"/>
        <family val="2"/>
        <scheme val="minor"/>
      </rPr>
      <t xml:space="preserve"> </t>
    </r>
  </si>
  <si>
    <t>ნაღდი ანგარიშსწორებით განხორციელებული ბრუნვა. მათ შორის:</t>
  </si>
  <si>
    <t>საკონტროლო სალარო აპარატების საშუალებებით</t>
  </si>
  <si>
    <r>
      <t>maqsimaluri xelfasi</t>
    </r>
    <r>
      <rPr>
        <sz val="11"/>
        <color rgb="FF008080"/>
        <rFont val="Calibri"/>
        <family val="2"/>
        <scheme val="minor"/>
      </rPr>
      <t xml:space="preserve"> </t>
    </r>
  </si>
  <si>
    <r>
      <t>minimaluri xelfasi</t>
    </r>
    <r>
      <rPr>
        <sz val="11"/>
        <color rgb="FF008080"/>
        <rFont val="Calibri"/>
        <family val="2"/>
        <scheme val="minor"/>
      </rPr>
      <t xml:space="preserve"> </t>
    </r>
  </si>
  <si>
    <t>ნაღდი ფულის ნაშთი საანგარიშო თვის ბოლოსთვის, გარდა 68-ე უჯრაში ასახული მონაცემისა</t>
  </si>
  <si>
    <t>ანგარიშვალდებული პირების მიერ გადასახადის გადამხდელის საბანკო ანგარიშ(ებ)ზე ან/და სალაროში დაუბრუნებელი თანხები საანგარიშო თვის ბოლოსთვის</t>
  </si>
  <si>
    <t>68-ე უჯრაში გათვალისწინებულ ანგარიშვალდებულ პირთა რაოდენობა</t>
  </si>
  <si>
    <t>1. გ</t>
  </si>
  <si>
    <t>2. გ</t>
  </si>
  <si>
    <t>3. გ</t>
  </si>
  <si>
    <t>4. ბ</t>
  </si>
  <si>
    <t>5. ა</t>
  </si>
  <si>
    <t>6. ბ</t>
  </si>
  <si>
    <t>7. დ</t>
  </si>
  <si>
    <t>8. ბ</t>
  </si>
  <si>
    <t>9. დ</t>
  </si>
  <si>
    <t>10. გ</t>
  </si>
  <si>
    <t>11. ბ</t>
  </si>
  <si>
    <t>12. გ</t>
  </si>
  <si>
    <t>13. გ</t>
  </si>
  <si>
    <t>14. ა</t>
  </si>
  <si>
    <t>15. ბ</t>
  </si>
  <si>
    <t>16. გ</t>
  </si>
  <si>
    <t>17. ბ</t>
  </si>
  <si>
    <t>18. გ</t>
  </si>
  <si>
    <t>19. დ</t>
  </si>
  <si>
    <t>20. დ</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</si>
</sst>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92">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i/>
      <sz val="11"/>
      <color theme="1"/>
      <name val="Calibri"/>
      <family val="2"/>
      <scheme val="minor"/>
    </font>
    <font>
      <b/>
      <sz val="10"/>
      <color theme="1"/>
      <name val="Sylfaen"/>
      <family val="1"/>
    </font>
    <font>
      <b/>
      <sz val="10"/>
      <color theme="1"/>
      <name val="Calibri"/>
      <family val="2"/>
      <scheme val="minor"/>
    </font>
    <font>
      <sz val="10"/>
      <color theme="1"/>
      <name val="Calibri"/>
      <family val="2"/>
      <scheme val="minor"/>
    </font>
    <font>
      <sz val="9"/>
      <color theme="1"/>
      <name val="Calibri"/>
      <family val="2"/>
      <scheme val="minor"/>
    </font>
    <font>
      <sz val="11"/>
      <color theme="1"/>
      <name val="Calibri"/>
      <family val="2"/>
    </font>
    <font>
      <sz val="10"/>
      <color theme="1"/>
      <name val="Wingdings"/>
      <charset val="2"/>
    </font>
    <font>
      <sz val="10"/>
      <color theme="1"/>
      <name val="Sylfaen"/>
      <family val="1"/>
    </font>
    <font>
      <sz val="10"/>
      <color theme="1"/>
      <name val="Times New Roman"/>
      <family val="1"/>
    </font>
    <font>
      <sz val="10"/>
      <color rgb="FF333333"/>
      <name val="Times New Roman"/>
      <family val="1"/>
    </font>
    <font>
      <sz val="7"/>
      <color theme="1"/>
      <name val="Calibri"/>
      <family val="2"/>
      <scheme val="minor"/>
    </font>
    <font>
      <i/>
      <sz val="10"/>
      <color theme="1"/>
      <name val="Sylfaen"/>
      <family val="1"/>
    </font>
    <font>
      <sz val="9"/>
      <color theme="1"/>
      <name val="Sylfaen"/>
      <family val="1"/>
    </font>
    <font>
      <b/>
      <sz val="10"/>
      <color rgb="FF333333"/>
      <name val="Times New Roman"/>
      <family val="1"/>
    </font>
    <font>
      <b/>
      <sz val="11"/>
      <color theme="1"/>
      <name val="სყ"/>
    </font>
    <font>
      <b/>
      <sz val="11"/>
      <color theme="1"/>
      <name val="Times New Roman"/>
      <family val="1"/>
    </font>
    <font>
      <sz val="9"/>
      <color theme="1"/>
      <name val="სყ"/>
    </font>
    <font>
      <sz val="11"/>
      <color theme="1"/>
      <name val="Sylfaen"/>
      <family val="1"/>
    </font>
    <font>
      <sz val="12"/>
      <color theme="1"/>
      <name val="AcadNusx"/>
    </font>
    <font>
      <sz val="12"/>
      <color theme="1"/>
      <name val="Times New Roman"/>
      <family val="1"/>
    </font>
    <font>
      <b/>
      <sz val="12"/>
      <color theme="1"/>
      <name val="AcadNusx"/>
    </font>
    <font>
      <b/>
      <sz val="12"/>
      <color theme="1"/>
      <name val="Times New Roman"/>
      <family val="1"/>
    </font>
    <font>
      <sz val="9"/>
      <color rgb="FF222222"/>
      <name val="BPG Arial"/>
    </font>
    <font>
      <sz val="9"/>
      <color rgb="FF222222"/>
      <name val="Calibri"/>
      <family val="2"/>
      <scheme val="minor"/>
    </font>
    <font>
      <sz val="10"/>
      <color rgb="FF222222"/>
      <name val="BPG Arial"/>
    </font>
    <font>
      <b/>
      <sz val="10"/>
      <color rgb="FF222222"/>
      <name val="BPG Arial"/>
    </font>
    <font>
      <sz val="7"/>
      <color rgb="FF222222"/>
      <name val="BPG Arial"/>
    </font>
    <font>
      <sz val="11"/>
      <color theme="1"/>
      <name val="BPG Arial"/>
    </font>
    <font>
      <b/>
      <sz val="11"/>
      <color theme="1"/>
      <name val="BPG Arial"/>
    </font>
    <font>
      <sz val="9"/>
      <color theme="1"/>
      <name val="BPG Arial"/>
    </font>
    <font>
      <b/>
      <sz val="9"/>
      <color rgb="FF222222"/>
      <name val="BPG Arial"/>
    </font>
    <font>
      <sz val="10"/>
      <color theme="1"/>
      <name val="BPG Arial"/>
    </font>
    <font>
      <b/>
      <sz val="10"/>
      <color theme="1"/>
      <name val="BPG Arial"/>
    </font>
    <font>
      <b/>
      <sz val="14"/>
      <color indexed="8"/>
      <name val="Sylfaen"/>
      <family val="1"/>
    </font>
    <font>
      <sz val="14"/>
      <color indexed="8"/>
      <name val="Sylfaen"/>
      <family val="1"/>
    </font>
    <font>
      <b/>
      <sz val="11"/>
      <color theme="1"/>
      <name val="Sylfaen"/>
      <family val="1"/>
    </font>
    <font>
      <b/>
      <sz val="10"/>
      <color indexed="8"/>
      <name val="Sylfaen"/>
      <family val="1"/>
    </font>
    <font>
      <b/>
      <sz val="9"/>
      <color theme="1"/>
      <name val="Sylfaen"/>
      <family val="1"/>
    </font>
    <font>
      <b/>
      <u/>
      <sz val="10"/>
      <color indexed="8"/>
      <name val="Sylfaen"/>
      <family val="1"/>
    </font>
    <font>
      <sz val="11"/>
      <name val="Sylfaen"/>
      <family val="1"/>
    </font>
    <font>
      <sz val="9"/>
      <name val="Sylfaen"/>
      <family val="1"/>
    </font>
    <font>
      <sz val="11"/>
      <color indexed="8"/>
      <name val="Sylfaen"/>
      <family val="1"/>
    </font>
    <font>
      <b/>
      <sz val="11"/>
      <name val="Sylfaen"/>
      <family val="1"/>
    </font>
    <font>
      <b/>
      <sz val="11"/>
      <color rgb="FFFF0000"/>
      <name val="Sylfaen"/>
      <family val="1"/>
    </font>
    <font>
      <b/>
      <sz val="9"/>
      <name val="Sylfaen"/>
      <family val="1"/>
    </font>
    <font>
      <u/>
      <sz val="11"/>
      <color indexed="60"/>
      <name val="Calibri"/>
      <family val="2"/>
    </font>
    <font>
      <sz val="11"/>
      <color rgb="FFFF0000"/>
      <name val="Sylfaen"/>
      <family val="1"/>
    </font>
    <font>
      <b/>
      <sz val="10"/>
      <name val="Sylfaen"/>
      <family val="1"/>
    </font>
    <font>
      <b/>
      <sz val="10"/>
      <color rgb="FF000000"/>
      <name val="Sylfaen"/>
      <family val="1"/>
    </font>
    <font>
      <b/>
      <sz val="11"/>
      <color indexed="10"/>
      <name val="Sylfaen"/>
      <family val="1"/>
    </font>
    <font>
      <b/>
      <vertAlign val="superscript"/>
      <sz val="10"/>
      <color theme="1"/>
      <name val="Sylfaen"/>
      <family val="1"/>
    </font>
    <font>
      <sz val="10"/>
      <color indexed="8"/>
      <name val="Sylfaen"/>
      <family val="1"/>
    </font>
    <font>
      <sz val="8"/>
      <color theme="1"/>
      <name val="Calibri"/>
      <family val="2"/>
      <scheme val="minor"/>
    </font>
    <font>
      <b/>
      <sz val="11"/>
      <color rgb="FF000000"/>
      <name val="Sylfaen"/>
      <family val="1"/>
    </font>
    <font>
      <sz val="9"/>
      <color theme="1"/>
      <name val="AcadNusx"/>
    </font>
    <font>
      <u/>
      <sz val="9"/>
      <color rgb="FF008080"/>
      <name val="AcadNusx"/>
    </font>
    <font>
      <sz val="9"/>
      <color rgb="FF000000"/>
      <name val="Sylfaen"/>
      <family val="1"/>
    </font>
    <font>
      <b/>
      <sz val="9"/>
      <color rgb="FF000000"/>
      <name val="Sylfaen"/>
      <family val="1"/>
    </font>
    <font>
      <b/>
      <sz val="11"/>
      <color theme="1"/>
      <name val="AcadNusx"/>
    </font>
    <font>
      <sz val="11"/>
      <color theme="1"/>
      <name val="AcadNusx"/>
    </font>
    <font>
      <sz val="9"/>
      <color theme="1"/>
      <name val="Wingdings"/>
      <charset val="2"/>
    </font>
    <font>
      <sz val="9"/>
      <color theme="1"/>
      <name val="Times New Roman"/>
      <family val="1"/>
    </font>
    <font>
      <sz val="11"/>
      <name val="Calibri"/>
      <family val="2"/>
      <scheme val="minor"/>
    </font>
    <font>
      <b/>
      <sz val="9"/>
      <color theme="1"/>
      <name val="Calibri"/>
      <family val="2"/>
      <scheme val="minor"/>
    </font>
    <font>
      <sz val="11"/>
      <color theme="1"/>
      <name val="Wingdings"/>
      <charset val="2"/>
    </font>
    <font>
      <sz val="7"/>
      <color theme="1"/>
      <name val="Times New Roman"/>
      <family val="1"/>
    </font>
    <font>
      <b/>
      <sz val="9"/>
      <color theme="1"/>
      <name val="Times New Roman"/>
      <family val="1"/>
    </font>
    <font>
      <b/>
      <sz val="7"/>
      <color theme="1"/>
      <name val="Times New Roman"/>
      <family val="1"/>
    </font>
    <font>
      <b/>
      <sz val="11"/>
      <color theme="1"/>
      <name val="ArialUnicodeMS"/>
    </font>
    <font>
      <sz val="9"/>
      <color theme="1"/>
      <name val="Calibri"/>
      <family val="2"/>
    </font>
    <font>
      <b/>
      <sz val="12"/>
      <color rgb="FF008080"/>
      <name val="Sylfaen"/>
      <family val="1"/>
    </font>
    <font>
      <b/>
      <sz val="10"/>
      <color rgb="FF008080"/>
      <name val="Sylfaen"/>
      <family val="1"/>
    </font>
    <font>
      <b/>
      <sz val="10"/>
      <color rgb="FF008080"/>
      <name val="LitMtavrPS"/>
    </font>
    <font>
      <sz val="7.5"/>
      <color rgb="FF008080"/>
      <name val="LitMtavrPS"/>
    </font>
    <font>
      <sz val="9"/>
      <color rgb="FF008080"/>
      <name val="LitNusx"/>
    </font>
    <font>
      <b/>
      <sz val="9"/>
      <color rgb="FF008080"/>
      <name val="Calibri"/>
      <family val="2"/>
      <scheme val="minor"/>
    </font>
    <font>
      <sz val="11"/>
      <color rgb="FF008080"/>
      <name val="Calibri"/>
      <family val="2"/>
      <scheme val="minor"/>
    </font>
    <font>
      <sz val="11"/>
      <color rgb="FF008080"/>
      <name val="LitNusx"/>
    </font>
    <font>
      <sz val="8.5"/>
      <color rgb="FF008080"/>
      <name val="LitNusx"/>
    </font>
    <font>
      <sz val="9"/>
      <color rgb="FF008080"/>
      <name val="Calibri"/>
      <family val="2"/>
      <scheme val="minor"/>
    </font>
    <font>
      <b/>
      <sz val="9"/>
      <color rgb="FF008080"/>
      <name val="LitNusx"/>
    </font>
    <font>
      <vertAlign val="superscript"/>
      <sz val="9"/>
      <color rgb="FF008080"/>
      <name val="LitNusx"/>
    </font>
    <font>
      <sz val="10"/>
      <color rgb="FF008080"/>
      <name val="LitNusx"/>
    </font>
    <font>
      <vertAlign val="superscript"/>
      <sz val="11"/>
      <color rgb="FF008080"/>
      <name val="LitNusx"/>
    </font>
    <font>
      <sz val="9"/>
      <color rgb="FF008080"/>
      <name val="Sylfaen"/>
      <family val="1"/>
    </font>
    <font>
      <b/>
      <sz val="12"/>
      <color rgb="FF008080"/>
      <name val="LitNusx"/>
    </font>
    <font>
      <sz val="11"/>
      <color rgb="FF008080"/>
      <name val="Sylfaen"/>
      <family val="1"/>
    </font>
    <font>
      <sz val="10"/>
      <color rgb="FF000000"/>
      <name val="Sylfaen"/>
      <family val="1"/>
    </font>
  </fonts>
  <fills count="17">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FFFFFF"/>
        <bgColor indexed="64"/>
      </patternFill>
    </fill>
    <fill>
      <patternFill patternType="solid">
        <fgColor rgb="FFF7F7F7"/>
        <bgColor indexed="64"/>
      </patternFill>
    </fill>
    <fill>
      <patternFill patternType="solid">
        <fgColor theme="0" tint="-0.14999847407452621"/>
        <bgColor indexed="64"/>
      </patternFill>
    </fill>
    <fill>
      <patternFill patternType="solid">
        <fgColor rgb="FFFBFBFB"/>
        <bgColor indexed="64"/>
      </patternFill>
    </fill>
    <fill>
      <patternFill patternType="solid">
        <fgColor rgb="FFD2DBDB"/>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6" tint="0.79998168889431442"/>
        <bgColor indexed="64"/>
      </patternFill>
    </fill>
    <fill>
      <patternFill patternType="solid">
        <fgColor theme="2"/>
        <bgColor indexed="64"/>
      </patternFill>
    </fill>
    <fill>
      <patternFill patternType="solid">
        <fgColor theme="1"/>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rgb="FFD7D7D7"/>
      </right>
      <top/>
      <bottom style="medium">
        <color rgb="FFD7D7D7"/>
      </bottom>
      <diagonal/>
    </border>
    <border>
      <left style="medium">
        <color rgb="FFD7D7D7"/>
      </left>
      <right/>
      <top/>
      <bottom style="medium">
        <color rgb="FFD7D7D7"/>
      </bottom>
      <diagonal/>
    </border>
    <border>
      <left/>
      <right/>
      <top style="medium">
        <color rgb="FFD7D7D7"/>
      </top>
      <bottom style="medium">
        <color rgb="FFD7D7D7"/>
      </bottom>
      <diagonal/>
    </border>
    <border>
      <left/>
      <right style="medium">
        <color rgb="FFD7D7D7"/>
      </right>
      <top style="medium">
        <color rgb="FFD7D7D7"/>
      </top>
      <bottom style="medium">
        <color rgb="FFD7D7D7"/>
      </bottom>
      <diagonal/>
    </border>
    <border>
      <left style="medium">
        <color rgb="FFD7D7D7"/>
      </left>
      <right style="medium">
        <color rgb="FFD7D7D7"/>
      </right>
      <top style="medium">
        <color rgb="FFD7D7D7"/>
      </top>
      <bottom style="medium">
        <color rgb="FFD7D7D7"/>
      </bottom>
      <diagonal/>
    </border>
    <border>
      <left style="medium">
        <color rgb="FFD7D7D7"/>
      </left>
      <right/>
      <top style="medium">
        <color rgb="FFD7D7D7"/>
      </top>
      <bottom style="medium">
        <color rgb="FFD7D7D7"/>
      </bottom>
      <diagonal/>
    </border>
    <border>
      <left/>
      <right/>
      <top style="medium">
        <color rgb="FFD7D7D7"/>
      </top>
      <bottom/>
      <diagonal/>
    </border>
    <border>
      <left/>
      <right/>
      <top/>
      <bottom style="medium">
        <color rgb="FFD7D7D7"/>
      </bottom>
      <diagonal/>
    </border>
    <border>
      <left style="medium">
        <color indexed="64"/>
      </left>
      <right style="thin">
        <color indexed="64"/>
      </right>
      <top style="thin">
        <color indexed="64"/>
      </top>
      <bottom style="medium">
        <color indexed="64"/>
      </bottom>
      <diagonal/>
    </border>
    <border>
      <left style="thin">
        <color indexed="64"/>
      </left>
      <right/>
      <top style="medium">
        <color rgb="FFD7D7D7"/>
      </top>
      <bottom style="medium">
        <color indexed="64"/>
      </bottom>
      <diagonal/>
    </border>
    <border>
      <left/>
      <right/>
      <top style="medium">
        <color rgb="FFD7D7D7"/>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bottom style="medium">
        <color indexed="64"/>
      </bottom>
      <diagonal/>
    </border>
    <border>
      <left/>
      <right style="medium">
        <color rgb="FF000000"/>
      </right>
      <top/>
      <bottom/>
      <diagonal/>
    </border>
    <border>
      <left/>
      <right style="medium">
        <color rgb="FF000000"/>
      </right>
      <top style="medium">
        <color rgb="FF000000"/>
      </top>
      <bottom/>
      <diagonal/>
    </border>
    <border>
      <left style="medium">
        <color rgb="FF000000"/>
      </left>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thick">
        <color rgb="FF808080"/>
      </bottom>
      <diagonal/>
    </border>
    <border>
      <left/>
      <right/>
      <top style="medium">
        <color rgb="FF000000"/>
      </top>
      <bottom/>
      <diagonal/>
    </border>
    <border>
      <left style="medium">
        <color rgb="FF000000"/>
      </left>
      <right/>
      <top/>
      <bottom/>
      <diagonal/>
    </border>
    <border>
      <left style="medium">
        <color indexed="64"/>
      </left>
      <right/>
      <top style="medium">
        <color rgb="FF000000"/>
      </top>
      <bottom/>
      <diagonal/>
    </border>
    <border>
      <left style="medium">
        <color indexed="64"/>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indexed="64"/>
      </top>
      <bottom style="medium">
        <color indexed="64"/>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indexed="64"/>
      </top>
      <bottom style="medium">
        <color indexed="64"/>
      </bottom>
      <diagonal/>
    </border>
    <border>
      <left style="thin">
        <color indexed="64"/>
      </left>
      <right style="thin">
        <color indexed="64"/>
      </right>
      <top style="medium">
        <color rgb="FF000000"/>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ck">
        <color rgb="FF808080"/>
      </bottom>
      <diagonal/>
    </border>
    <border>
      <left style="thin">
        <color indexed="64"/>
      </left>
      <right style="thin">
        <color indexed="64"/>
      </right>
      <top/>
      <bottom style="medium">
        <color indexed="64"/>
      </bottom>
      <diagonal/>
    </border>
    <border>
      <left/>
      <right style="medium">
        <color rgb="FF000000"/>
      </right>
      <top/>
      <bottom style="medium">
        <color indexed="64"/>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style="medium">
        <color indexed="64"/>
      </left>
      <right/>
      <top style="medium">
        <color rgb="FF000000"/>
      </top>
      <bottom style="medium">
        <color indexed="64"/>
      </bottom>
      <diagonal/>
    </border>
  </borders>
  <cellStyleXfs count="1">
    <xf numFmtId="0" fontId="0" fillId="0" borderId="0"/>
  </cellStyleXfs>
  <cellXfs count="863">
    <xf numFmtId="0" fontId="0" fillId="0" borderId="0" xfId="0"/>
    <xf numFmtId="0" fontId="0" fillId="0" borderId="0" xfId="0" applyAlignment="1">
      <alignment horizontal="center" vertical="center" wrapText="1"/>
    </xf>
    <xf numFmtId="0" fontId="0" fillId="0" borderId="0" xfId="0" applyAlignment="1">
      <alignment horizontal="center" vertical="top" wrapText="1"/>
    </xf>
    <xf numFmtId="0" fontId="3" fillId="0" borderId="0" xfId="0" applyFont="1" applyAlignment="1">
      <alignment horizontal="center" vertical="top" wrapText="1"/>
    </xf>
    <xf numFmtId="0" fontId="4" fillId="0" borderId="0" xfId="0" applyFont="1" applyAlignment="1">
      <alignment horizontal="center" vertical="top" wrapText="1"/>
    </xf>
    <xf numFmtId="0" fontId="5" fillId="0" borderId="0" xfId="0" applyFont="1"/>
    <xf numFmtId="0" fontId="6" fillId="0" borderId="0" xfId="0" applyFont="1" applyAlignment="1">
      <alignment horizontal="center" vertical="top" wrapText="1"/>
    </xf>
    <xf numFmtId="0" fontId="7" fillId="0" borderId="0" xfId="0" applyFont="1" applyAlignment="1">
      <alignment horizontal="center" vertical="top" wrapText="1"/>
    </xf>
    <xf numFmtId="0" fontId="7" fillId="0" borderId="2" xfId="0" applyFont="1" applyBorder="1" applyAlignment="1">
      <alignment horizontal="center" vertical="center" wrapText="1"/>
    </xf>
    <xf numFmtId="0" fontId="6" fillId="0" borderId="3" xfId="0" applyFont="1" applyBorder="1" applyAlignment="1">
      <alignment horizontal="center" vertical="center" wrapText="1"/>
    </xf>
    <xf numFmtId="0" fontId="7" fillId="0" borderId="4" xfId="0" applyFont="1" applyBorder="1" applyAlignment="1">
      <alignment horizontal="center" vertical="center" wrapText="1"/>
    </xf>
    <xf numFmtId="0" fontId="8" fillId="0" borderId="5" xfId="0" applyFont="1" applyBorder="1" applyAlignment="1">
      <alignment horizontal="center" vertical="center" wrapText="1"/>
    </xf>
    <xf numFmtId="0" fontId="1" fillId="0" borderId="0" xfId="0" applyFont="1" applyAlignment="1">
      <alignment horizontal="center" vertical="top" wrapText="1"/>
    </xf>
    <xf numFmtId="0" fontId="7" fillId="0" borderId="1" xfId="0" applyFont="1" applyBorder="1" applyAlignment="1">
      <alignment horizontal="center" vertical="center" wrapText="1"/>
    </xf>
    <xf numFmtId="1"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7" fillId="0" borderId="0" xfId="0" applyFont="1" applyAlignment="1">
      <alignment horizontal="center" vertical="center" wrapText="1"/>
    </xf>
    <xf numFmtId="1" fontId="0" fillId="0" borderId="9" xfId="0" applyNumberFormat="1" applyBorder="1" applyAlignment="1">
      <alignment horizontal="center" vertical="center" wrapText="1"/>
    </xf>
    <xf numFmtId="0" fontId="0" fillId="0" borderId="9" xfId="0" applyBorder="1" applyAlignment="1">
      <alignment horizontal="center" vertical="center" wrapText="1"/>
    </xf>
    <xf numFmtId="0" fontId="8" fillId="0" borderId="1" xfId="0" applyFont="1" applyBorder="1" applyAlignment="1">
      <alignment horizontal="center" vertical="center" wrapText="1"/>
    </xf>
    <xf numFmtId="2" fontId="0" fillId="2" borderId="1" xfId="0" applyNumberFormat="1" applyFill="1" applyBorder="1" applyAlignment="1">
      <alignment horizontal="center" vertical="center" wrapText="1"/>
    </xf>
    <xf numFmtId="2" fontId="0" fillId="0" borderId="0" xfId="0" applyNumberFormat="1" applyAlignment="1">
      <alignment horizontal="center" vertical="top" wrapText="1"/>
    </xf>
    <xf numFmtId="0" fontId="1" fillId="0" borderId="0" xfId="0" applyFont="1" applyAlignment="1">
      <alignment horizontal="center" vertical="center" wrapText="1"/>
    </xf>
    <xf numFmtId="0" fontId="0" fillId="2" borderId="9" xfId="0" applyFill="1" applyBorder="1" applyAlignment="1">
      <alignment horizontal="center" vertical="center" wrapText="1"/>
    </xf>
    <xf numFmtId="0" fontId="6" fillId="0" borderId="0" xfId="0" applyFont="1" applyAlignment="1">
      <alignment horizontal="center" vertical="center" wrapText="1"/>
    </xf>
    <xf numFmtId="1" fontId="8" fillId="2" borderId="1" xfId="0" applyNumberFormat="1" applyFont="1" applyFill="1" applyBorder="1" applyAlignment="1">
      <alignment horizontal="center" vertical="center" wrapText="1"/>
    </xf>
    <xf numFmtId="2" fontId="0" fillId="0" borderId="1" xfId="0" applyNumberFormat="1" applyBorder="1" applyAlignment="1">
      <alignment horizontal="center" vertical="center" wrapText="1"/>
    </xf>
    <xf numFmtId="0" fontId="0" fillId="0" borderId="0" xfId="0" applyBorder="1" applyAlignment="1">
      <alignment horizontal="center" vertical="center" wrapText="1"/>
    </xf>
    <xf numFmtId="0" fontId="8" fillId="0" borderId="0" xfId="0" applyFont="1" applyBorder="1" applyAlignment="1">
      <alignment horizontal="center" vertical="center" wrapText="1"/>
    </xf>
    <xf numFmtId="2" fontId="0" fillId="0" borderId="0" xfId="0" applyNumberFormat="1" applyBorder="1" applyAlignment="1">
      <alignment horizontal="center" vertical="center" wrapText="1"/>
    </xf>
    <xf numFmtId="0" fontId="7" fillId="0" borderId="0" xfId="0" applyFont="1" applyBorder="1" applyAlignment="1">
      <alignment horizontal="center" vertical="center" wrapText="1"/>
    </xf>
    <xf numFmtId="2" fontId="8" fillId="2" borderId="9" xfId="0" applyNumberFormat="1" applyFont="1" applyFill="1" applyBorder="1" applyAlignment="1">
      <alignment horizontal="center" vertical="center" wrapText="1"/>
    </xf>
    <xf numFmtId="0" fontId="5" fillId="0" borderId="0" xfId="0" applyFont="1" applyAlignment="1"/>
    <xf numFmtId="2" fontId="0" fillId="2" borderId="9" xfId="0" applyNumberFormat="1" applyFill="1" applyBorder="1" applyAlignment="1">
      <alignment horizontal="center" vertical="center" wrapText="1"/>
    </xf>
    <xf numFmtId="0" fontId="0" fillId="0" borderId="0" xfId="0" applyBorder="1" applyAlignment="1">
      <alignment vertical="center" wrapText="1"/>
    </xf>
    <xf numFmtId="1" fontId="0" fillId="0" borderId="0" xfId="0" applyNumberFormat="1" applyAlignment="1">
      <alignment horizontal="center" vertical="top" wrapText="1"/>
    </xf>
    <xf numFmtId="0" fontId="13" fillId="0" borderId="10" xfId="0" applyFont="1" applyBorder="1" applyAlignment="1"/>
    <xf numFmtId="0" fontId="0" fillId="0" borderId="0" xfId="0" applyFont="1" applyAlignment="1">
      <alignment horizontal="center" vertical="top" wrapText="1"/>
    </xf>
    <xf numFmtId="0" fontId="0" fillId="3" borderId="0" xfId="0" applyFill="1" applyBorder="1" applyAlignment="1">
      <alignment horizontal="center" vertical="center" wrapText="1"/>
    </xf>
    <xf numFmtId="0" fontId="8" fillId="0" borderId="9" xfId="0" applyFont="1" applyBorder="1" applyAlignment="1">
      <alignment horizontal="center" vertical="center" wrapText="1"/>
    </xf>
    <xf numFmtId="2" fontId="0" fillId="0" borderId="9" xfId="0" applyNumberFormat="1" applyBorder="1" applyAlignment="1">
      <alignment horizontal="center" vertical="center" wrapText="1"/>
    </xf>
    <xf numFmtId="2" fontId="8" fillId="0" borderId="9" xfId="0" applyNumberFormat="1" applyFont="1" applyBorder="1" applyAlignment="1">
      <alignment horizontal="center" vertical="center" wrapText="1"/>
    </xf>
    <xf numFmtId="0" fontId="0" fillId="0" borderId="0" xfId="0" applyBorder="1" applyAlignment="1">
      <alignment horizontal="center" vertical="top" wrapText="1"/>
    </xf>
    <xf numFmtId="0" fontId="0" fillId="0" borderId="0" xfId="0" applyBorder="1" applyAlignment="1">
      <alignment vertical="top" wrapText="1"/>
    </xf>
    <xf numFmtId="0" fontId="0" fillId="3" borderId="0" xfId="0" applyFill="1" applyAlignment="1">
      <alignment horizontal="center" vertical="center" wrapText="1"/>
    </xf>
    <xf numFmtId="0" fontId="0" fillId="3" borderId="0" xfId="0" applyFill="1" applyAlignment="1">
      <alignment horizontal="center" vertical="top" wrapText="1"/>
    </xf>
    <xf numFmtId="0" fontId="1" fillId="0" borderId="0" xfId="0" applyFont="1" applyAlignment="1">
      <alignment horizontal="left" vertical="top" wrapText="1"/>
    </xf>
    <xf numFmtId="0" fontId="0" fillId="0" borderId="1" xfId="0" applyBorder="1" applyAlignment="1">
      <alignment horizontal="center" vertical="top" wrapText="1"/>
    </xf>
    <xf numFmtId="0" fontId="11" fillId="0" borderId="1" xfId="0" applyFont="1" applyBorder="1" applyAlignment="1">
      <alignment horizontal="center" vertical="center" wrapText="1"/>
    </xf>
    <xf numFmtId="0" fontId="15" fillId="0" borderId="1" xfId="0" applyFont="1" applyBorder="1" applyAlignment="1">
      <alignment vertical="top" wrapText="1"/>
    </xf>
    <xf numFmtId="1" fontId="7" fillId="2" borderId="1" xfId="0" applyNumberFormat="1" applyFont="1" applyFill="1" applyBorder="1" applyAlignment="1">
      <alignment horizontal="center" vertical="center" wrapText="1"/>
    </xf>
    <xf numFmtId="0" fontId="16" fillId="0" borderId="1" xfId="0" applyFont="1" applyBorder="1" applyAlignment="1">
      <alignment horizontal="center" wrapText="1"/>
    </xf>
    <xf numFmtId="0" fontId="0" fillId="2" borderId="1" xfId="0" applyFill="1" applyBorder="1" applyAlignment="1">
      <alignment horizontal="center" vertical="top" wrapText="1"/>
    </xf>
    <xf numFmtId="0" fontId="0" fillId="0" borderId="1" xfId="0" applyFont="1" applyBorder="1" applyAlignment="1">
      <alignment horizontal="center" vertical="center" wrapText="1"/>
    </xf>
    <xf numFmtId="0" fontId="1" fillId="0" borderId="1" xfId="0" applyFont="1" applyBorder="1" applyAlignment="1">
      <alignment horizontal="left" vertical="top" wrapText="1"/>
    </xf>
    <xf numFmtId="0" fontId="7" fillId="0" borderId="17"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Border="1" applyAlignment="1">
      <alignment horizontal="center" vertical="center" wrapText="1"/>
    </xf>
    <xf numFmtId="0" fontId="16" fillId="0" borderId="1" xfId="0" applyFont="1" applyBorder="1" applyAlignment="1">
      <alignment horizontal="center" vertical="center" wrapText="1"/>
    </xf>
    <xf numFmtId="2" fontId="16" fillId="2" borderId="1" xfId="0" applyNumberFormat="1" applyFont="1" applyFill="1" applyBorder="1" applyAlignment="1">
      <alignment horizontal="center" vertical="center" wrapText="1"/>
    </xf>
    <xf numFmtId="2" fontId="16" fillId="0" borderId="9" xfId="0" applyNumberFormat="1" applyFont="1" applyBorder="1" applyAlignment="1">
      <alignment horizontal="center" vertical="center" wrapText="1"/>
    </xf>
    <xf numFmtId="2" fontId="16" fillId="0" borderId="1" xfId="0" applyNumberFormat="1" applyFont="1" applyBorder="1" applyAlignment="1">
      <alignment horizontal="center" vertical="center" wrapText="1"/>
    </xf>
    <xf numFmtId="0" fontId="16" fillId="0" borderId="0" xfId="0" applyFont="1" applyBorder="1" applyAlignment="1">
      <alignment horizontal="center" vertical="center" wrapText="1"/>
    </xf>
    <xf numFmtId="2" fontId="16" fillId="0" borderId="0" xfId="0" applyNumberFormat="1" applyFont="1" applyBorder="1" applyAlignment="1">
      <alignment horizontal="center" vertical="center" wrapText="1"/>
    </xf>
    <xf numFmtId="2" fontId="7" fillId="0" borderId="0" xfId="0" applyNumberFormat="1" applyFont="1" applyBorder="1" applyAlignment="1">
      <alignment horizontal="center" vertical="center" wrapText="1"/>
    </xf>
    <xf numFmtId="0" fontId="20" fillId="0" borderId="1" xfId="0" applyFont="1" applyBorder="1" applyAlignment="1">
      <alignment horizontal="center" vertical="center" wrapText="1"/>
    </xf>
    <xf numFmtId="2" fontId="20" fillId="2" borderId="1" xfId="0" applyNumberFormat="1" applyFont="1" applyFill="1" applyBorder="1" applyAlignment="1">
      <alignment horizontal="center" vertical="center" wrapText="1"/>
    </xf>
    <xf numFmtId="2" fontId="20" fillId="0" borderId="9" xfId="0" applyNumberFormat="1" applyFont="1" applyBorder="1" applyAlignment="1">
      <alignment horizontal="center" vertical="center" wrapText="1"/>
    </xf>
    <xf numFmtId="0" fontId="8" fillId="0" borderId="0" xfId="0" applyFont="1" applyAlignment="1">
      <alignment horizontal="center" vertical="top" wrapText="1"/>
    </xf>
    <xf numFmtId="0" fontId="21" fillId="0" borderId="0" xfId="0" applyFont="1" applyAlignment="1">
      <alignment horizontal="center" vertical="top" wrapText="1"/>
    </xf>
    <xf numFmtId="0" fontId="5" fillId="0" borderId="1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5" fillId="0" borderId="1" xfId="0" applyFont="1" applyBorder="1" applyAlignment="1">
      <alignment horizontal="center" vertical="center" wrapText="1"/>
    </xf>
    <xf numFmtId="2" fontId="21" fillId="2" borderId="1" xfId="0" applyNumberFormat="1" applyFont="1" applyFill="1" applyBorder="1" applyAlignment="1">
      <alignment horizontal="center" vertical="center" wrapText="1"/>
    </xf>
    <xf numFmtId="0" fontId="22" fillId="0" borderId="0" xfId="0" applyFont="1" applyBorder="1" applyAlignment="1">
      <alignment horizontal="center" wrapText="1"/>
    </xf>
    <xf numFmtId="2" fontId="23" fillId="0" borderId="0" xfId="0" applyNumberFormat="1" applyFont="1" applyBorder="1" applyAlignment="1">
      <alignment horizontal="center" wrapText="1"/>
    </xf>
    <xf numFmtId="2" fontId="25" fillId="0" borderId="0" xfId="0" applyNumberFormat="1" applyFont="1" applyBorder="1" applyAlignment="1">
      <alignment horizontal="center" wrapText="1"/>
    </xf>
    <xf numFmtId="2" fontId="0" fillId="0" borderId="0" xfId="0" applyNumberFormat="1" applyBorder="1" applyAlignment="1">
      <alignment horizontal="center" vertical="top" wrapText="1"/>
    </xf>
    <xf numFmtId="0" fontId="0" fillId="0" borderId="0" xfId="0" applyAlignment="1">
      <alignment vertical="center"/>
    </xf>
    <xf numFmtId="0" fontId="0" fillId="0" borderId="0" xfId="0" applyAlignment="1">
      <alignment horizontal="center" vertical="center"/>
    </xf>
    <xf numFmtId="0" fontId="27" fillId="4" borderId="1" xfId="0" applyFont="1" applyFill="1" applyBorder="1" applyAlignment="1">
      <alignment horizontal="center" vertical="center" wrapText="1"/>
    </xf>
    <xf numFmtId="0" fontId="26" fillId="4" borderId="1" xfId="0" applyFont="1" applyFill="1" applyBorder="1" applyAlignment="1">
      <alignment vertical="center" wrapText="1"/>
    </xf>
    <xf numFmtId="0" fontId="28" fillId="4" borderId="10" xfId="0" applyFont="1" applyFill="1" applyBorder="1" applyAlignment="1">
      <alignment vertical="center" wrapText="1"/>
    </xf>
    <xf numFmtId="0" fontId="28" fillId="4" borderId="14" xfId="0" applyFont="1" applyFill="1" applyBorder="1" applyAlignment="1">
      <alignment vertical="center" wrapText="1"/>
    </xf>
    <xf numFmtId="0" fontId="28" fillId="4" borderId="0"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28" fillId="4" borderId="1" xfId="0" applyFont="1" applyFill="1" applyBorder="1" applyAlignment="1">
      <alignment vertical="center" wrapText="1"/>
    </xf>
    <xf numFmtId="0" fontId="28" fillId="4" borderId="12" xfId="0" applyFont="1" applyFill="1" applyBorder="1" applyAlignment="1">
      <alignment vertical="center" wrapText="1"/>
    </xf>
    <xf numFmtId="0" fontId="28" fillId="4" borderId="4" xfId="0" applyFont="1" applyFill="1" applyBorder="1" applyAlignment="1">
      <alignment vertical="center" wrapText="1"/>
    </xf>
    <xf numFmtId="0" fontId="26" fillId="5" borderId="24" xfId="0" applyFont="1" applyFill="1" applyBorder="1" applyAlignment="1">
      <alignment horizontal="left" vertical="center" wrapText="1"/>
    </xf>
    <xf numFmtId="0" fontId="28" fillId="5" borderId="14" xfId="0" applyFont="1" applyFill="1" applyBorder="1" applyAlignment="1">
      <alignment horizontal="center" vertical="center" wrapText="1"/>
    </xf>
    <xf numFmtId="0" fontId="28" fillId="5" borderId="9" xfId="0" applyFont="1" applyFill="1" applyBorder="1" applyAlignment="1">
      <alignment horizontal="center" vertical="center" wrapText="1"/>
    </xf>
    <xf numFmtId="0" fontId="29" fillId="5" borderId="9" xfId="0" applyFont="1" applyFill="1" applyBorder="1" applyAlignment="1">
      <alignment horizontal="center" vertical="center" wrapText="1"/>
    </xf>
    <xf numFmtId="2" fontId="29" fillId="2" borderId="6" xfId="0" applyNumberFormat="1" applyFont="1" applyFill="1" applyBorder="1" applyAlignment="1">
      <alignment horizontal="center" vertical="center" wrapText="1"/>
    </xf>
    <xf numFmtId="0" fontId="28" fillId="6" borderId="11" xfId="0" applyFont="1" applyFill="1" applyBorder="1" applyAlignment="1">
      <alignment horizontal="center" vertical="center" wrapText="1"/>
    </xf>
    <xf numFmtId="0" fontId="28" fillId="6" borderId="12" xfId="0" applyFont="1" applyFill="1" applyBorder="1" applyAlignment="1">
      <alignment horizontal="center" vertical="center" wrapText="1"/>
    </xf>
    <xf numFmtId="0" fontId="30" fillId="5" borderId="1" xfId="0" applyFont="1" applyFill="1" applyBorder="1" applyAlignment="1">
      <alignment horizontal="center" vertical="center" wrapText="1"/>
    </xf>
    <xf numFmtId="0" fontId="30" fillId="5" borderId="0" xfId="0" applyFont="1" applyFill="1" applyBorder="1" applyAlignment="1">
      <alignment horizontal="center" vertical="center" wrapText="1"/>
    </xf>
    <xf numFmtId="0" fontId="28" fillId="5" borderId="24" xfId="0" applyFont="1" applyFill="1" applyBorder="1" applyAlignment="1">
      <alignment horizontal="left" vertical="center" wrapText="1"/>
    </xf>
    <xf numFmtId="0" fontId="29" fillId="5" borderId="8" xfId="0" applyFont="1" applyFill="1" applyBorder="1" applyAlignment="1">
      <alignment horizontal="center" vertical="center" wrapText="1"/>
    </xf>
    <xf numFmtId="2" fontId="29" fillId="2" borderId="1" xfId="0" applyNumberFormat="1" applyFont="1" applyFill="1" applyBorder="1" applyAlignment="1">
      <alignment horizontal="center" vertical="center" wrapText="1"/>
    </xf>
    <xf numFmtId="0" fontId="28" fillId="6" borderId="0" xfId="0" applyFont="1" applyFill="1" applyBorder="1" applyAlignment="1">
      <alignment horizontal="center" vertical="center" wrapText="1"/>
    </xf>
    <xf numFmtId="0" fontId="28" fillId="6" borderId="15" xfId="0" applyFont="1" applyFill="1" applyBorder="1" applyAlignment="1">
      <alignment horizontal="center" vertical="center" wrapText="1"/>
    </xf>
    <xf numFmtId="0" fontId="30" fillId="5" borderId="1" xfId="0" applyFont="1" applyFill="1" applyBorder="1" applyAlignment="1">
      <alignment vertical="center" wrapText="1"/>
    </xf>
    <xf numFmtId="0" fontId="30" fillId="5" borderId="0" xfId="0" applyFont="1" applyFill="1" applyBorder="1" applyAlignment="1">
      <alignment vertical="center" wrapText="1"/>
    </xf>
    <xf numFmtId="0" fontId="28" fillId="7" borderId="24" xfId="0" applyFont="1" applyFill="1" applyBorder="1" applyAlignment="1">
      <alignment horizontal="left" vertical="center" wrapText="1"/>
    </xf>
    <xf numFmtId="0" fontId="26" fillId="8" borderId="24" xfId="0" applyFont="1" applyFill="1" applyBorder="1" applyAlignment="1">
      <alignment horizontal="left" vertical="center" wrapText="1"/>
    </xf>
    <xf numFmtId="0" fontId="29" fillId="5" borderId="1" xfId="0" applyFont="1" applyFill="1" applyBorder="1" applyAlignment="1">
      <alignment horizontal="center" vertical="center" wrapText="1"/>
    </xf>
    <xf numFmtId="0" fontId="28" fillId="6" borderId="13" xfId="0" applyFont="1" applyFill="1" applyBorder="1" applyAlignment="1">
      <alignment horizontal="center" vertical="center" wrapText="1"/>
    </xf>
    <xf numFmtId="0" fontId="28" fillId="6" borderId="10" xfId="0" applyFont="1" applyFill="1" applyBorder="1" applyAlignment="1">
      <alignment horizontal="center" vertical="center" wrapText="1"/>
    </xf>
    <xf numFmtId="0" fontId="28" fillId="5" borderId="25" xfId="0" applyFont="1" applyFill="1" applyBorder="1" applyAlignment="1">
      <alignment horizontal="left" vertical="center" wrapText="1"/>
    </xf>
    <xf numFmtId="0" fontId="30" fillId="6" borderId="26" xfId="0" applyFont="1" applyFill="1" applyBorder="1" applyAlignment="1">
      <alignment horizontal="center" vertical="center" wrapText="1"/>
    </xf>
    <xf numFmtId="0" fontId="31" fillId="6" borderId="27" xfId="0" applyFont="1" applyFill="1" applyBorder="1" applyAlignment="1">
      <alignment horizontal="center" vertical="center" wrapText="1"/>
    </xf>
    <xf numFmtId="0" fontId="32" fillId="5" borderId="1" xfId="0" applyFont="1" applyFill="1" applyBorder="1" applyAlignment="1">
      <alignment horizontal="center" vertical="center" wrapText="1"/>
    </xf>
    <xf numFmtId="2" fontId="32" fillId="2" borderId="1" xfId="0" applyNumberFormat="1" applyFont="1" applyFill="1" applyBorder="1" applyAlignment="1">
      <alignment horizontal="center" vertical="center" wrapText="1"/>
    </xf>
    <xf numFmtId="0" fontId="31" fillId="5" borderId="6" xfId="0" applyFont="1" applyFill="1" applyBorder="1" applyAlignment="1">
      <alignment horizontal="center" vertical="center" wrapText="1"/>
    </xf>
    <xf numFmtId="0" fontId="33" fillId="5" borderId="1" xfId="0" applyFont="1" applyFill="1" applyBorder="1" applyAlignment="1">
      <alignment horizontal="center" vertical="center" wrapText="1"/>
    </xf>
    <xf numFmtId="0" fontId="31" fillId="5" borderId="1" xfId="0" applyFont="1" applyFill="1" applyBorder="1" applyAlignment="1">
      <alignment horizontal="left" vertical="center" wrapText="1"/>
    </xf>
    <xf numFmtId="0" fontId="31" fillId="5" borderId="28" xfId="0" applyFont="1" applyFill="1" applyBorder="1" applyAlignment="1">
      <alignment horizontal="left" vertical="center" wrapText="1"/>
    </xf>
    <xf numFmtId="0" fontId="31" fillId="5" borderId="29" xfId="0" applyFont="1" applyFill="1" applyBorder="1" applyAlignment="1">
      <alignment horizontal="left" vertical="center" wrapText="1"/>
    </xf>
    <xf numFmtId="0" fontId="30" fillId="5" borderId="30" xfId="0" applyFont="1" applyFill="1" applyBorder="1" applyAlignment="1">
      <alignment horizontal="left" vertical="center" wrapText="1"/>
    </xf>
    <xf numFmtId="0" fontId="31" fillId="5" borderId="31" xfId="0" applyFont="1" applyFill="1" applyBorder="1" applyAlignment="1">
      <alignment horizontal="left" vertical="center" wrapText="1"/>
    </xf>
    <xf numFmtId="0" fontId="30" fillId="6" borderId="29" xfId="0" applyFont="1" applyFill="1" applyBorder="1" applyAlignment="1">
      <alignment horizontal="center" vertical="center" wrapText="1"/>
    </xf>
    <xf numFmtId="0" fontId="31" fillId="6" borderId="31" xfId="0" applyFont="1" applyFill="1" applyBorder="1" applyAlignment="1">
      <alignment horizontal="center" vertical="center" wrapText="1"/>
    </xf>
    <xf numFmtId="0" fontId="32" fillId="7" borderId="1"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6" borderId="1" xfId="0" applyFont="1" applyFill="1" applyBorder="1" applyAlignment="1">
      <alignment horizontal="center" vertical="center" wrapText="1"/>
    </xf>
    <xf numFmtId="0" fontId="31" fillId="6" borderId="0" xfId="0" applyFont="1" applyFill="1" applyBorder="1" applyAlignment="1">
      <alignment horizontal="center" vertical="center" wrapText="1"/>
    </xf>
    <xf numFmtId="0" fontId="33" fillId="7" borderId="1" xfId="0" applyFont="1" applyFill="1" applyBorder="1" applyAlignment="1">
      <alignment horizontal="center" vertical="center" wrapText="1"/>
    </xf>
    <xf numFmtId="0" fontId="31" fillId="7" borderId="1" xfId="0" applyFont="1" applyFill="1" applyBorder="1" applyAlignment="1">
      <alignment horizontal="left" vertical="center" wrapText="1"/>
    </xf>
    <xf numFmtId="0" fontId="31" fillId="7" borderId="28" xfId="0" applyFont="1" applyFill="1" applyBorder="1" applyAlignment="1">
      <alignment horizontal="left" vertical="center" wrapText="1"/>
    </xf>
    <xf numFmtId="0" fontId="31" fillId="7" borderId="29" xfId="0" applyFont="1" applyFill="1" applyBorder="1" applyAlignment="1">
      <alignment horizontal="left" vertical="center" wrapText="1"/>
    </xf>
    <xf numFmtId="0" fontId="0" fillId="4" borderId="0" xfId="0" applyFill="1" applyAlignment="1">
      <alignment vertical="center"/>
    </xf>
    <xf numFmtId="0" fontId="30" fillId="5" borderId="6" xfId="0" applyFont="1" applyFill="1" applyBorder="1" applyAlignment="1">
      <alignment horizontal="center" vertical="center" wrapText="1"/>
    </xf>
    <xf numFmtId="0" fontId="30" fillId="5" borderId="1" xfId="0" applyFont="1" applyFill="1" applyBorder="1" applyAlignment="1">
      <alignment horizontal="left" vertical="center" wrapText="1"/>
    </xf>
    <xf numFmtId="0" fontId="30" fillId="5" borderId="28" xfId="0" applyFont="1" applyFill="1" applyBorder="1" applyAlignment="1">
      <alignment horizontal="left" vertical="center" wrapText="1"/>
    </xf>
    <xf numFmtId="0" fontId="29" fillId="6" borderId="1" xfId="0" applyFont="1" applyFill="1" applyBorder="1" applyAlignment="1">
      <alignment horizontal="center" vertical="center" wrapText="1"/>
    </xf>
    <xf numFmtId="0" fontId="29" fillId="5" borderId="0" xfId="0" applyFont="1" applyFill="1" applyBorder="1" applyAlignment="1">
      <alignment horizontal="center" vertical="center" wrapText="1"/>
    </xf>
    <xf numFmtId="0" fontId="29" fillId="7" borderId="1" xfId="0" applyFont="1" applyFill="1" applyBorder="1" applyAlignment="1">
      <alignment horizontal="center" vertical="center" wrapText="1"/>
    </xf>
    <xf numFmtId="0" fontId="30" fillId="7" borderId="6" xfId="0" applyFont="1" applyFill="1" applyBorder="1" applyAlignment="1">
      <alignment horizontal="center" vertical="center" wrapText="1"/>
    </xf>
    <xf numFmtId="0" fontId="30" fillId="7" borderId="1" xfId="0" applyFont="1" applyFill="1" applyBorder="1" applyAlignment="1">
      <alignment horizontal="center" vertical="center" wrapText="1"/>
    </xf>
    <xf numFmtId="0" fontId="30" fillId="7" borderId="1" xfId="0" applyFont="1" applyFill="1" applyBorder="1" applyAlignment="1">
      <alignment horizontal="left" vertical="center" wrapText="1"/>
    </xf>
    <xf numFmtId="0" fontId="30" fillId="7" borderId="28" xfId="0" applyFont="1" applyFill="1" applyBorder="1" applyAlignment="1">
      <alignment horizontal="left" vertical="center" wrapText="1"/>
    </xf>
    <xf numFmtId="0" fontId="31" fillId="7" borderId="31" xfId="0" applyFont="1" applyFill="1" applyBorder="1" applyAlignment="1">
      <alignment horizontal="left" vertical="center" wrapText="1"/>
    </xf>
    <xf numFmtId="0" fontId="30" fillId="7" borderId="30" xfId="0" applyFont="1" applyFill="1" applyBorder="1" applyAlignment="1">
      <alignment horizontal="left" vertical="center" wrapText="1"/>
    </xf>
    <xf numFmtId="2" fontId="34" fillId="2" borderId="1" xfId="0" applyNumberFormat="1" applyFont="1" applyFill="1" applyBorder="1" applyAlignment="1">
      <alignment horizontal="center" vertical="center" wrapText="1"/>
    </xf>
    <xf numFmtId="0" fontId="30" fillId="6" borderId="33" xfId="0" applyFont="1" applyFill="1" applyBorder="1" applyAlignment="1">
      <alignment horizontal="center" vertical="center" wrapText="1"/>
    </xf>
    <xf numFmtId="0" fontId="26" fillId="7" borderId="24" xfId="0" applyFont="1" applyFill="1" applyBorder="1" applyAlignment="1">
      <alignment horizontal="left" vertical="center" wrapText="1"/>
    </xf>
    <xf numFmtId="0" fontId="35" fillId="7" borderId="8" xfId="0" applyFont="1" applyFill="1" applyBorder="1" applyAlignment="1">
      <alignment horizontal="center" vertical="center" wrapText="1"/>
    </xf>
    <xf numFmtId="0" fontId="31" fillId="6" borderId="28" xfId="0" applyFont="1" applyFill="1" applyBorder="1" applyAlignment="1">
      <alignment horizontal="center" vertical="center" wrapText="1"/>
    </xf>
    <xf numFmtId="0" fontId="36" fillId="6" borderId="1" xfId="0" applyFont="1" applyFill="1" applyBorder="1" applyAlignment="1">
      <alignment horizontal="center" vertical="center" wrapText="1"/>
    </xf>
    <xf numFmtId="0" fontId="36" fillId="6" borderId="0" xfId="0" applyFont="1" applyFill="1" applyBorder="1" applyAlignment="1">
      <alignment horizontal="center" vertical="center" wrapText="1"/>
    </xf>
    <xf numFmtId="0" fontId="31" fillId="6" borderId="32" xfId="0" applyFont="1" applyFill="1" applyBorder="1" applyAlignment="1">
      <alignment horizontal="center" vertical="center" wrapText="1"/>
    </xf>
    <xf numFmtId="0" fontId="31" fillId="7" borderId="1" xfId="0" applyFont="1" applyFill="1" applyBorder="1" applyAlignment="1">
      <alignment horizontal="center" vertical="center" wrapText="1"/>
    </xf>
    <xf numFmtId="2" fontId="29" fillId="5" borderId="1" xfId="0" applyNumberFormat="1" applyFont="1" applyFill="1" applyBorder="1" applyAlignment="1">
      <alignment horizontal="center" vertical="center" wrapText="1"/>
    </xf>
    <xf numFmtId="2" fontId="29" fillId="5" borderId="6" xfId="0" applyNumberFormat="1" applyFont="1" applyFill="1" applyBorder="1" applyAlignment="1">
      <alignment horizontal="center" vertical="center" wrapText="1"/>
    </xf>
    <xf numFmtId="1" fontId="29" fillId="5" borderId="1" xfId="0" applyNumberFormat="1" applyFont="1" applyFill="1" applyBorder="1" applyAlignment="1">
      <alignment horizontal="center" vertical="center" wrapText="1"/>
    </xf>
    <xf numFmtId="0" fontId="28" fillId="7" borderId="34" xfId="0" applyFont="1" applyFill="1" applyBorder="1" applyAlignment="1">
      <alignment horizontal="left" vertical="center" wrapText="1"/>
    </xf>
    <xf numFmtId="0" fontId="29" fillId="6" borderId="19" xfId="0" applyFont="1" applyFill="1" applyBorder="1" applyAlignment="1">
      <alignment horizontal="center" vertical="center" wrapText="1"/>
    </xf>
    <xf numFmtId="0" fontId="29" fillId="6" borderId="37" xfId="0" applyFont="1" applyFill="1" applyBorder="1" applyAlignment="1">
      <alignment horizontal="center" vertical="center" wrapText="1"/>
    </xf>
    <xf numFmtId="0" fontId="29" fillId="7" borderId="38" xfId="0" applyFont="1" applyFill="1" applyBorder="1" applyAlignment="1">
      <alignment horizontal="center" vertical="center" wrapText="1"/>
    </xf>
    <xf numFmtId="2" fontId="29" fillId="7" borderId="36" xfId="0" applyNumberFormat="1" applyFont="1" applyFill="1" applyBorder="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0" fillId="3" borderId="1" xfId="0" applyFill="1" applyBorder="1" applyAlignment="1">
      <alignment horizontal="center" vertical="center" wrapText="1"/>
    </xf>
    <xf numFmtId="0" fontId="0" fillId="0" borderId="1" xfId="0" applyBorder="1" applyAlignment="1">
      <alignment horizontal="center" vertical="center"/>
    </xf>
    <xf numFmtId="0" fontId="0" fillId="3" borderId="0" xfId="0" applyFill="1" applyAlignment="1">
      <alignment horizontal="center" vertical="center"/>
    </xf>
    <xf numFmtId="0" fontId="0" fillId="0" borderId="15" xfId="0" applyBorder="1" applyAlignment="1">
      <alignment horizontal="center" vertical="center"/>
    </xf>
    <xf numFmtId="0" fontId="1" fillId="0" borderId="10" xfId="0" applyFont="1" applyBorder="1" applyAlignment="1"/>
    <xf numFmtId="0" fontId="0" fillId="0" borderId="1" xfId="0" applyBorder="1" applyAlignment="1">
      <alignment vertical="top" wrapText="1"/>
    </xf>
    <xf numFmtId="0" fontId="0" fillId="0" borderId="1" xfId="0" applyBorder="1" applyAlignment="1">
      <alignment horizontal="center"/>
    </xf>
    <xf numFmtId="0" fontId="7" fillId="0" borderId="18" xfId="0" applyFont="1" applyBorder="1" applyAlignment="1">
      <alignment horizontal="center" vertical="center" wrapText="1"/>
    </xf>
    <xf numFmtId="0" fontId="0" fillId="0" borderId="1" xfId="0" applyBorder="1"/>
    <xf numFmtId="0" fontId="0" fillId="0" borderId="0" xfId="0" applyBorder="1" applyAlignment="1">
      <alignment horizontal="left" vertical="center"/>
    </xf>
    <xf numFmtId="0" fontId="8" fillId="3" borderId="0"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0" borderId="24" xfId="0" applyFont="1" applyBorder="1" applyAlignment="1">
      <alignment horizontal="center" vertical="center" wrapText="1"/>
    </xf>
    <xf numFmtId="2" fontId="0" fillId="0" borderId="1" xfId="0" applyNumberFormat="1" applyBorder="1" applyAlignment="1">
      <alignment horizontal="center" vertical="center"/>
    </xf>
    <xf numFmtId="0" fontId="1" fillId="0" borderId="0" xfId="0" applyFont="1"/>
    <xf numFmtId="0" fontId="37" fillId="0" borderId="0" xfId="0" applyFont="1" applyAlignment="1">
      <alignment horizontal="center" wrapText="1"/>
    </xf>
    <xf numFmtId="0" fontId="38" fillId="0" borderId="0" xfId="0" applyFont="1" applyAlignment="1">
      <alignment horizontal="center" wrapText="1"/>
    </xf>
    <xf numFmtId="164" fontId="0" fillId="0" borderId="0" xfId="0" applyNumberFormat="1" applyAlignment="1">
      <alignment horizontal="center" vertical="center"/>
    </xf>
    <xf numFmtId="0" fontId="0" fillId="0" borderId="0" xfId="0" applyAlignment="1">
      <alignment horizontal="center"/>
    </xf>
    <xf numFmtId="1" fontId="39" fillId="0" borderId="6" xfId="0" applyNumberFormat="1" applyFont="1" applyBorder="1" applyAlignment="1">
      <alignment horizontal="center" vertical="center"/>
    </xf>
    <xf numFmtId="1" fontId="21" fillId="0" borderId="1" xfId="0" applyNumberFormat="1" applyFont="1" applyBorder="1" applyAlignment="1">
      <alignment horizontal="center" vertical="center" wrapText="1"/>
    </xf>
    <xf numFmtId="0" fontId="16" fillId="0" borderId="1" xfId="0" applyFont="1" applyBorder="1" applyAlignment="1">
      <alignment vertical="center" wrapText="1"/>
    </xf>
    <xf numFmtId="1" fontId="21" fillId="3" borderId="1" xfId="0" applyNumberFormat="1" applyFont="1" applyFill="1" applyBorder="1" applyAlignment="1">
      <alignment horizontal="center" vertical="center" wrapText="1"/>
    </xf>
    <xf numFmtId="0" fontId="21" fillId="9" borderId="8" xfId="0" applyFont="1" applyFill="1" applyBorder="1" applyAlignment="1">
      <alignment horizontal="center" vertical="center" wrapText="1"/>
    </xf>
    <xf numFmtId="0" fontId="16" fillId="0" borderId="6" xfId="0" applyFont="1" applyBorder="1" applyAlignment="1">
      <alignment vertical="center" wrapText="1"/>
    </xf>
    <xf numFmtId="0" fontId="21" fillId="0" borderId="7" xfId="0" applyFont="1" applyBorder="1" applyAlignment="1">
      <alignment horizontal="center" vertical="center" wrapText="1"/>
    </xf>
    <xf numFmtId="164" fontId="0" fillId="0" borderId="1" xfId="0" applyNumberFormat="1" applyBorder="1" applyAlignment="1">
      <alignment horizontal="center" vertical="center"/>
    </xf>
    <xf numFmtId="49" fontId="39"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49" fontId="39" fillId="3" borderId="1" xfId="0" applyNumberFormat="1" applyFont="1" applyFill="1" applyBorder="1" applyAlignment="1">
      <alignment horizontal="center" vertical="center" wrapText="1"/>
    </xf>
    <xf numFmtId="0" fontId="39" fillId="0" borderId="6" xfId="0" applyFont="1" applyBorder="1" applyAlignment="1">
      <alignment horizontal="center" vertical="center"/>
    </xf>
    <xf numFmtId="49" fontId="39" fillId="0" borderId="5" xfId="0" applyNumberFormat="1" applyFont="1" applyBorder="1" applyAlignment="1">
      <alignment horizontal="center" vertical="center"/>
    </xf>
    <xf numFmtId="0" fontId="43" fillId="2" borderId="1" xfId="0" applyFont="1" applyFill="1" applyBorder="1" applyAlignment="1">
      <alignment horizontal="center" vertical="center" wrapText="1"/>
    </xf>
    <xf numFmtId="49" fontId="39" fillId="0" borderId="1" xfId="0" applyNumberFormat="1" applyFont="1" applyBorder="1" applyAlignment="1">
      <alignment horizontal="center" vertical="center"/>
    </xf>
    <xf numFmtId="0" fontId="43" fillId="0" borderId="1" xfId="0" applyFont="1" applyBorder="1" applyAlignment="1">
      <alignment horizontal="center" vertical="center" wrapText="1"/>
    </xf>
    <xf numFmtId="49" fontId="39" fillId="3" borderId="1" xfId="0" applyNumberFormat="1" applyFont="1" applyFill="1" applyBorder="1" applyAlignment="1">
      <alignment horizontal="center" vertical="center"/>
    </xf>
    <xf numFmtId="0" fontId="43" fillId="2" borderId="1" xfId="0" quotePrefix="1" applyFont="1" applyFill="1" applyBorder="1" applyAlignment="1">
      <alignment horizontal="center" vertical="center" wrapText="1"/>
    </xf>
    <xf numFmtId="49" fontId="39" fillId="0" borderId="6" xfId="0" applyNumberFormat="1" applyFont="1" applyBorder="1" applyAlignment="1">
      <alignment horizontal="center" vertical="center"/>
    </xf>
    <xf numFmtId="0" fontId="39" fillId="9" borderId="6" xfId="0" applyFont="1" applyFill="1" applyBorder="1" applyAlignment="1">
      <alignment horizontal="center" vertical="center"/>
    </xf>
    <xf numFmtId="49" fontId="16" fillId="0" borderId="1" xfId="0" applyNumberFormat="1" applyFont="1" applyFill="1" applyBorder="1" applyAlignment="1">
      <alignment horizontal="center" vertical="center" wrapText="1"/>
    </xf>
    <xf numFmtId="1" fontId="21" fillId="0" borderId="1" xfId="0" applyNumberFormat="1" applyFont="1" applyFill="1" applyBorder="1" applyAlignment="1">
      <alignment horizontal="center" vertical="center" wrapText="1"/>
    </xf>
    <xf numFmtId="49" fontId="21" fillId="9" borderId="11" xfId="0" applyNumberFormat="1" applyFont="1" applyFill="1" applyBorder="1" applyAlignment="1">
      <alignment vertical="center" wrapText="1"/>
    </xf>
    <xf numFmtId="49" fontId="21" fillId="9" borderId="4" xfId="0" applyNumberFormat="1" applyFont="1" applyFill="1" applyBorder="1" applyAlignment="1">
      <alignment vertical="center" wrapText="1"/>
    </xf>
    <xf numFmtId="49" fontId="21" fillId="9" borderId="15" xfId="0" applyNumberFormat="1" applyFont="1" applyFill="1" applyBorder="1" applyAlignment="1">
      <alignment vertical="center" wrapText="1"/>
    </xf>
    <xf numFmtId="49" fontId="21" fillId="9" borderId="44" xfId="0" applyNumberFormat="1" applyFont="1" applyFill="1" applyBorder="1" applyAlignment="1">
      <alignment vertical="center" wrapText="1"/>
    </xf>
    <xf numFmtId="49" fontId="21" fillId="0" borderId="1" xfId="0" applyNumberFormat="1" applyFont="1" applyFill="1" applyBorder="1" applyAlignment="1">
      <alignment horizontal="center" vertical="center" wrapText="1"/>
    </xf>
    <xf numFmtId="49" fontId="21" fillId="9" borderId="13" xfId="0" applyNumberFormat="1" applyFont="1" applyFill="1" applyBorder="1" applyAlignment="1">
      <alignment vertical="center" wrapText="1"/>
    </xf>
    <xf numFmtId="49" fontId="21" fillId="9" borderId="14" xfId="0" applyNumberFormat="1" applyFont="1" applyFill="1" applyBorder="1" applyAlignment="1">
      <alignment vertical="center" wrapText="1"/>
    </xf>
    <xf numFmtId="49" fontId="39" fillId="0" borderId="6" xfId="0" applyNumberFormat="1" applyFont="1" applyBorder="1" applyAlignment="1">
      <alignment horizontal="center" vertical="center" wrapText="1"/>
    </xf>
    <xf numFmtId="49" fontId="46" fillId="0" borderId="1" xfId="0" applyNumberFormat="1" applyFont="1" applyBorder="1" applyAlignment="1">
      <alignment horizontal="center" vertical="center" wrapText="1"/>
    </xf>
    <xf numFmtId="1" fontId="43" fillId="0" borderId="1" xfId="0" applyNumberFormat="1" applyFont="1" applyBorder="1" applyAlignment="1">
      <alignment horizontal="center" vertical="center" wrapText="1"/>
    </xf>
    <xf numFmtId="49" fontId="46" fillId="0" borderId="1" xfId="0" applyNumberFormat="1" applyFont="1" applyBorder="1" applyAlignment="1">
      <alignment horizontal="center" vertical="center"/>
    </xf>
    <xf numFmtId="49" fontId="43" fillId="0" borderId="1" xfId="0" applyNumberFormat="1" applyFont="1" applyBorder="1" applyAlignment="1">
      <alignment horizontal="center" vertical="center" wrapText="1"/>
    </xf>
    <xf numFmtId="49" fontId="0" fillId="0" borderId="1" xfId="0" applyNumberFormat="1" applyBorder="1" applyAlignment="1">
      <alignment horizontal="center"/>
    </xf>
    <xf numFmtId="49" fontId="46" fillId="0" borderId="0" xfId="0" applyNumberFormat="1" applyFont="1" applyBorder="1" applyAlignment="1">
      <alignment horizontal="center" vertical="center"/>
    </xf>
    <xf numFmtId="0" fontId="39" fillId="0" borderId="34" xfId="0" applyFont="1" applyFill="1" applyBorder="1" applyAlignment="1">
      <alignment horizontal="center" vertical="center"/>
    </xf>
    <xf numFmtId="0" fontId="39" fillId="0" borderId="45" xfId="0" applyFont="1" applyBorder="1" applyAlignment="1">
      <alignment horizontal="center" vertical="center"/>
    </xf>
    <xf numFmtId="0" fontId="39" fillId="0" borderId="24" xfId="0" applyFont="1" applyBorder="1" applyAlignment="1">
      <alignment horizontal="center" vertical="center"/>
    </xf>
    <xf numFmtId="1" fontId="46" fillId="0" borderId="6" xfId="0" applyNumberFormat="1" applyFont="1" applyBorder="1" applyAlignment="1">
      <alignment horizontal="center" vertical="center"/>
    </xf>
    <xf numFmtId="0" fontId="47" fillId="0" borderId="6" xfId="0" applyFont="1" applyBorder="1" applyAlignment="1">
      <alignment horizontal="center" vertical="center"/>
    </xf>
    <xf numFmtId="1" fontId="47" fillId="0" borderId="6" xfId="0" applyNumberFormat="1" applyFont="1" applyBorder="1" applyAlignment="1">
      <alignment horizontal="center" vertical="center"/>
    </xf>
    <xf numFmtId="1" fontId="50" fillId="10" borderId="8" xfId="0" applyNumberFormat="1" applyFont="1" applyFill="1" applyBorder="1" applyAlignment="1">
      <alignment horizontal="center" vertical="center" wrapText="1"/>
    </xf>
    <xf numFmtId="49" fontId="39" fillId="0" borderId="5" xfId="0" applyNumberFormat="1" applyFont="1" applyFill="1" applyBorder="1" applyAlignment="1">
      <alignment horizontal="center" vertical="center"/>
    </xf>
    <xf numFmtId="0" fontId="43" fillId="0" borderId="8" xfId="0" applyFont="1" applyBorder="1" applyAlignment="1">
      <alignment horizontal="center" vertical="center" wrapText="1"/>
    </xf>
    <xf numFmtId="0" fontId="21" fillId="0" borderId="43" xfId="0" applyFont="1" applyBorder="1" applyAlignment="1">
      <alignment horizontal="center" vertical="center"/>
    </xf>
    <xf numFmtId="49" fontId="39" fillId="0" borderId="1" xfId="0" applyNumberFormat="1" applyFont="1" applyFill="1" applyBorder="1" applyAlignment="1">
      <alignment horizontal="center" vertical="center"/>
    </xf>
    <xf numFmtId="1" fontId="47" fillId="9" borderId="13" xfId="0" applyNumberFormat="1" applyFont="1" applyFill="1" applyBorder="1" applyAlignment="1">
      <alignment horizontal="center" vertical="center"/>
    </xf>
    <xf numFmtId="0" fontId="21" fillId="0" borderId="24" xfId="0" applyFont="1" applyFill="1" applyBorder="1" applyAlignment="1">
      <alignment horizontal="center" vertical="center"/>
    </xf>
    <xf numFmtId="0" fontId="50" fillId="0" borderId="1" xfId="0" applyFont="1" applyBorder="1" applyAlignment="1">
      <alignment horizontal="center" vertical="center" wrapText="1"/>
    </xf>
    <xf numFmtId="164" fontId="0" fillId="0" borderId="1" xfId="0" applyNumberFormat="1" applyBorder="1" applyAlignment="1">
      <alignment horizontal="center" vertical="center" wrapText="1"/>
    </xf>
    <xf numFmtId="0" fontId="43" fillId="0" borderId="4" xfId="0" applyFont="1" applyBorder="1" applyAlignment="1">
      <alignment horizontal="center" vertical="center" wrapText="1"/>
    </xf>
    <xf numFmtId="164" fontId="0" fillId="0" borderId="1" xfId="0" applyNumberFormat="1" applyBorder="1" applyAlignment="1">
      <alignment vertical="center" wrapText="1"/>
    </xf>
    <xf numFmtId="0" fontId="39" fillId="6" borderId="48" xfId="0" applyFont="1" applyFill="1" applyBorder="1" applyAlignment="1">
      <alignment horizontal="center" vertical="center"/>
    </xf>
    <xf numFmtId="1" fontId="46" fillId="3" borderId="48" xfId="0" applyNumberFormat="1" applyFont="1" applyFill="1" applyBorder="1" applyAlignment="1">
      <alignment horizontal="center" vertical="center"/>
    </xf>
    <xf numFmtId="0" fontId="39" fillId="6" borderId="51" xfId="0" applyFont="1" applyFill="1" applyBorder="1" applyAlignment="1">
      <alignment horizontal="center" vertical="center"/>
    </xf>
    <xf numFmtId="1" fontId="47" fillId="3" borderId="48" xfId="0" applyNumberFormat="1" applyFont="1" applyFill="1" applyBorder="1" applyAlignment="1">
      <alignment horizontal="center" vertical="center"/>
    </xf>
    <xf numFmtId="0" fontId="21" fillId="0" borderId="0" xfId="0" applyFont="1"/>
    <xf numFmtId="0" fontId="21" fillId="0" borderId="0" xfId="0" applyFont="1" applyAlignment="1">
      <alignment horizontal="center"/>
    </xf>
    <xf numFmtId="0" fontId="39" fillId="0" borderId="0" xfId="0" applyFont="1"/>
    <xf numFmtId="164" fontId="0" fillId="0" borderId="0" xfId="0" applyNumberFormat="1" applyBorder="1" applyAlignment="1">
      <alignment horizontal="center" vertical="center"/>
    </xf>
    <xf numFmtId="0" fontId="21" fillId="0" borderId="52" xfId="0" applyFont="1" applyBorder="1"/>
    <xf numFmtId="0" fontId="21" fillId="0" borderId="54" xfId="0" applyFont="1" applyBorder="1"/>
    <xf numFmtId="0" fontId="43" fillId="0" borderId="0" xfId="0" applyFont="1" applyBorder="1"/>
    <xf numFmtId="0" fontId="43" fillId="0" borderId="0" xfId="0" applyFont="1" applyBorder="1" applyAlignment="1">
      <alignment horizontal="center"/>
    </xf>
    <xf numFmtId="0" fontId="46" fillId="0" borderId="55" xfId="0" applyFont="1" applyBorder="1"/>
    <xf numFmtId="0" fontId="52" fillId="0" borderId="3" xfId="0" applyFont="1" applyBorder="1" applyAlignment="1">
      <alignment horizontal="center" vertical="center" wrapText="1"/>
    </xf>
    <xf numFmtId="0" fontId="51" fillId="0" borderId="56" xfId="0" applyFont="1" applyBorder="1" applyAlignment="1">
      <alignment horizontal="center" vertical="center" wrapText="1"/>
    </xf>
    <xf numFmtId="0" fontId="52" fillId="0" borderId="51" xfId="0" applyFont="1" applyBorder="1" applyAlignment="1">
      <alignment horizontal="center" vertical="center" wrapText="1"/>
    </xf>
    <xf numFmtId="1" fontId="46" fillId="0" borderId="52" xfId="0" applyNumberFormat="1" applyFont="1" applyBorder="1" applyAlignment="1">
      <alignment horizontal="center" vertical="center"/>
    </xf>
    <xf numFmtId="0" fontId="52" fillId="0" borderId="54" xfId="0" applyFont="1" applyBorder="1" applyAlignment="1">
      <alignment horizontal="center" vertical="center" wrapText="1"/>
    </xf>
    <xf numFmtId="1" fontId="46" fillId="0" borderId="48" xfId="0" applyNumberFormat="1" applyFont="1" applyBorder="1" applyAlignment="1">
      <alignment horizontal="center" vertical="center"/>
    </xf>
    <xf numFmtId="0" fontId="52" fillId="0" borderId="48" xfId="0" applyFont="1" applyBorder="1" applyAlignment="1">
      <alignment horizontal="center" vertical="center" wrapText="1"/>
    </xf>
    <xf numFmtId="1" fontId="46" fillId="0" borderId="54" xfId="0" applyNumberFormat="1" applyFont="1" applyBorder="1" applyAlignment="1">
      <alignment horizontal="center" vertical="center"/>
    </xf>
    <xf numFmtId="1" fontId="46" fillId="0" borderId="48" xfId="0" applyNumberFormat="1" applyFont="1" applyFill="1" applyBorder="1" applyAlignment="1">
      <alignment horizontal="center" vertical="center"/>
    </xf>
    <xf numFmtId="0" fontId="40" fillId="0" borderId="0" xfId="0" applyFont="1" applyBorder="1" applyAlignment="1">
      <alignment horizontal="center" vertical="center" wrapText="1"/>
    </xf>
    <xf numFmtId="1" fontId="53" fillId="0" borderId="0" xfId="0" applyNumberFormat="1" applyFont="1" applyBorder="1" applyAlignment="1">
      <alignment horizontal="center" vertical="center"/>
    </xf>
    <xf numFmtId="0" fontId="39" fillId="0" borderId="54" xfId="0" applyFont="1" applyBorder="1" applyAlignment="1">
      <alignment vertical="center"/>
    </xf>
    <xf numFmtId="0" fontId="39" fillId="0" borderId="0" xfId="0" applyFont="1" applyBorder="1" applyAlignment="1">
      <alignment horizontal="center" vertical="center" wrapText="1"/>
    </xf>
    <xf numFmtId="1" fontId="21" fillId="0" borderId="51" xfId="0" applyNumberFormat="1" applyFont="1" applyBorder="1" applyAlignment="1">
      <alignment horizontal="center" vertical="center" wrapText="1"/>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9" fillId="0" borderId="0" xfId="0" applyFont="1" applyBorder="1"/>
    <xf numFmtId="0" fontId="21" fillId="0" borderId="0" xfId="0" applyFont="1" applyBorder="1" applyAlignment="1">
      <alignment horizontal="left" vertical="center" wrapText="1"/>
    </xf>
    <xf numFmtId="0" fontId="21" fillId="0" borderId="0" xfId="0" applyFont="1" applyBorder="1" applyAlignment="1">
      <alignment horizontal="center" vertical="center" wrapText="1"/>
    </xf>
    <xf numFmtId="164" fontId="0" fillId="0" borderId="8" xfId="0" applyNumberFormat="1" applyBorder="1" applyAlignment="1">
      <alignment horizontal="center" vertical="center"/>
    </xf>
    <xf numFmtId="0" fontId="21" fillId="0" borderId="12" xfId="0" applyFont="1" applyBorder="1" applyAlignment="1"/>
    <xf numFmtId="0" fontId="21" fillId="0" borderId="0" xfId="0" applyFont="1" applyBorder="1"/>
    <xf numFmtId="0" fontId="21" fillId="0" borderId="0" xfId="0" applyFont="1" applyBorder="1" applyAlignment="1">
      <alignment horizontal="center"/>
    </xf>
    <xf numFmtId="0" fontId="0" fillId="0" borderId="0" xfId="0" applyBorder="1" applyAlignment="1">
      <alignment horizontal="center"/>
    </xf>
    <xf numFmtId="0" fontId="0" fillId="0" borderId="0" xfId="0" applyBorder="1"/>
    <xf numFmtId="164" fontId="0" fillId="0" borderId="0" xfId="0" applyNumberFormat="1" applyBorder="1"/>
    <xf numFmtId="0" fontId="56" fillId="0" borderId="1" xfId="0" applyFont="1" applyBorder="1" applyAlignment="1">
      <alignment horizontal="center" vertical="center" wrapText="1"/>
    </xf>
    <xf numFmtId="0" fontId="56" fillId="0" borderId="1" xfId="0" applyFont="1" applyBorder="1" applyAlignment="1">
      <alignment horizontal="center" vertical="center"/>
    </xf>
    <xf numFmtId="0" fontId="0" fillId="0" borderId="5" xfId="0" applyBorder="1" applyAlignment="1">
      <alignment horizontal="center" vertical="center"/>
    </xf>
    <xf numFmtId="0" fontId="52" fillId="0" borderId="0" xfId="0" applyFont="1" applyBorder="1" applyAlignment="1">
      <alignment horizontal="center" vertical="center" wrapText="1"/>
    </xf>
    <xf numFmtId="0" fontId="5" fillId="0" borderId="0" xfId="0" applyFont="1" applyBorder="1" applyAlignment="1">
      <alignment horizontal="center" vertical="center" wrapText="1"/>
    </xf>
    <xf numFmtId="1" fontId="47" fillId="0" borderId="0" xfId="0" applyNumberFormat="1" applyFont="1" applyBorder="1" applyAlignment="1">
      <alignment horizontal="center" vertical="center" wrapText="1"/>
    </xf>
    <xf numFmtId="0" fontId="60" fillId="0" borderId="38" xfId="0" applyFont="1" applyBorder="1" applyAlignment="1">
      <alignment horizontal="center" vertical="center" textRotation="90" wrapText="1"/>
    </xf>
    <xf numFmtId="0" fontId="61" fillId="0" borderId="57" xfId="0" applyFont="1" applyBorder="1" applyAlignment="1">
      <alignment horizontal="center" vertical="center" textRotation="90" wrapText="1"/>
    </xf>
    <xf numFmtId="0" fontId="62" fillId="0" borderId="51" xfId="0" applyFont="1" applyBorder="1" applyAlignment="1">
      <alignment horizontal="center" wrapText="1"/>
    </xf>
    <xf numFmtId="0" fontId="62" fillId="0" borderId="56" xfId="0" applyFont="1" applyBorder="1" applyAlignment="1">
      <alignment horizontal="center" wrapText="1"/>
    </xf>
    <xf numFmtId="0" fontId="62" fillId="0" borderId="50" xfId="0" applyFont="1" applyBorder="1" applyAlignment="1">
      <alignment horizontal="center" wrapText="1"/>
    </xf>
    <xf numFmtId="0" fontId="24" fillId="0" borderId="48" xfId="0" applyFont="1" applyBorder="1" applyAlignment="1">
      <alignment horizontal="center" wrapText="1"/>
    </xf>
    <xf numFmtId="0" fontId="62" fillId="0" borderId="51" xfId="0" applyFont="1" applyFill="1" applyBorder="1" applyAlignment="1">
      <alignment horizontal="center" wrapText="1"/>
    </xf>
    <xf numFmtId="0" fontId="62" fillId="0" borderId="56" xfId="0" applyFont="1" applyFill="1" applyBorder="1" applyAlignment="1">
      <alignment horizontal="center" wrapText="1"/>
    </xf>
    <xf numFmtId="0" fontId="63" fillId="0" borderId="3" xfId="0" applyFont="1" applyBorder="1" applyAlignment="1">
      <alignment horizontal="center" wrapText="1"/>
    </xf>
    <xf numFmtId="0" fontId="63" fillId="2" borderId="19" xfId="0" applyFont="1" applyFill="1" applyBorder="1" applyAlignment="1">
      <alignment horizontal="center" wrapText="1"/>
    </xf>
    <xf numFmtId="0" fontId="1" fillId="2" borderId="9" xfId="0" applyFont="1" applyFill="1" applyBorder="1" applyAlignment="1">
      <alignment horizontal="center"/>
    </xf>
    <xf numFmtId="0" fontId="0" fillId="0" borderId="9" xfId="0" applyBorder="1" applyAlignment="1">
      <alignment horizontal="center"/>
    </xf>
    <xf numFmtId="2" fontId="0" fillId="0" borderId="9" xfId="0" applyNumberFormat="1" applyBorder="1" applyAlignment="1">
      <alignment horizontal="center"/>
    </xf>
    <xf numFmtId="0" fontId="0" fillId="3" borderId="9" xfId="0" applyFill="1" applyBorder="1" applyAlignment="1">
      <alignment horizontal="center"/>
    </xf>
    <xf numFmtId="0" fontId="1" fillId="2" borderId="1" xfId="0" applyFont="1" applyFill="1" applyBorder="1" applyAlignment="1">
      <alignment horizontal="center"/>
    </xf>
    <xf numFmtId="2" fontId="0" fillId="0" borderId="1" xfId="0" applyNumberFormat="1" applyBorder="1" applyAlignment="1">
      <alignment horizontal="center"/>
    </xf>
    <xf numFmtId="1" fontId="0" fillId="0" borderId="9" xfId="0" applyNumberFormat="1" applyBorder="1" applyAlignment="1">
      <alignment horizontal="center"/>
    </xf>
    <xf numFmtId="1" fontId="0" fillId="0" borderId="1" xfId="0" applyNumberFormat="1" applyBorder="1" applyAlignment="1">
      <alignment horizontal="center"/>
    </xf>
    <xf numFmtId="0" fontId="63" fillId="2" borderId="0" xfId="0" applyFont="1" applyFill="1" applyBorder="1" applyAlignment="1">
      <alignment horizontal="center" wrapText="1"/>
    </xf>
    <xf numFmtId="0" fontId="1" fillId="2" borderId="5" xfId="0" applyFont="1" applyFill="1" applyBorder="1" applyAlignment="1">
      <alignment horizontal="center"/>
    </xf>
    <xf numFmtId="0" fontId="0" fillId="0" borderId="5" xfId="0" applyBorder="1" applyAlignment="1">
      <alignment horizontal="center"/>
    </xf>
    <xf numFmtId="2" fontId="0" fillId="0" borderId="5" xfId="0" applyNumberFormat="1" applyBorder="1" applyAlignment="1">
      <alignment horizontal="center"/>
    </xf>
    <xf numFmtId="0" fontId="0" fillId="0" borderId="48" xfId="0" applyBorder="1" applyAlignment="1"/>
    <xf numFmtId="0" fontId="4" fillId="0" borderId="58" xfId="0" applyFont="1" applyBorder="1" applyAlignment="1">
      <alignment horizontal="center"/>
    </xf>
    <xf numFmtId="0" fontId="0" fillId="0" borderId="58" xfId="0" applyBorder="1" applyAlignment="1">
      <alignment horizontal="center"/>
    </xf>
    <xf numFmtId="0" fontId="1" fillId="0" borderId="58" xfId="0" applyFont="1" applyBorder="1" applyAlignment="1">
      <alignment horizontal="center"/>
    </xf>
    <xf numFmtId="2" fontId="0" fillId="0" borderId="58" xfId="0" applyNumberFormat="1" applyFill="1" applyBorder="1" applyAlignment="1">
      <alignment horizontal="center"/>
    </xf>
    <xf numFmtId="0" fontId="1" fillId="0" borderId="58" xfId="0" applyFont="1" applyFill="1" applyBorder="1" applyAlignment="1">
      <alignment horizontal="center"/>
    </xf>
    <xf numFmtId="2" fontId="1" fillId="0" borderId="58" xfId="0" applyNumberFormat="1" applyFont="1" applyFill="1" applyBorder="1" applyAlignment="1">
      <alignment horizontal="center"/>
    </xf>
    <xf numFmtId="0" fontId="0" fillId="0" borderId="58" xfId="0" applyFill="1" applyBorder="1" applyAlignment="1">
      <alignment horizontal="center"/>
    </xf>
    <xf numFmtId="2" fontId="0" fillId="0" borderId="59" xfId="0" applyNumberFormat="1" applyFill="1" applyBorder="1" applyAlignment="1">
      <alignment horizontal="center"/>
    </xf>
    <xf numFmtId="0" fontId="0" fillId="0" borderId="0" xfId="0" applyBorder="1" applyAlignment="1"/>
    <xf numFmtId="0" fontId="4" fillId="0" borderId="0" xfId="0" applyFont="1" applyBorder="1" applyAlignment="1">
      <alignment horizontal="center"/>
    </xf>
    <xf numFmtId="0" fontId="1" fillId="0" borderId="0" xfId="0" applyFont="1" applyBorder="1" applyAlignment="1">
      <alignment horizontal="center"/>
    </xf>
    <xf numFmtId="2" fontId="0" fillId="0" borderId="0" xfId="0" applyNumberFormat="1" applyFill="1" applyBorder="1" applyAlignment="1">
      <alignment horizontal="center"/>
    </xf>
    <xf numFmtId="0" fontId="1" fillId="0" borderId="0" xfId="0" applyFont="1" applyFill="1" applyBorder="1" applyAlignment="1">
      <alignment horizontal="center"/>
    </xf>
    <xf numFmtId="0" fontId="0" fillId="0" borderId="0" xfId="0" applyFill="1" applyBorder="1" applyAlignment="1">
      <alignment horizontal="center"/>
    </xf>
    <xf numFmtId="2" fontId="0" fillId="0" borderId="15" xfId="0" applyNumberFormat="1" applyFill="1" applyBorder="1" applyAlignment="1">
      <alignment horizontal="center"/>
    </xf>
    <xf numFmtId="0" fontId="63"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xf>
    <xf numFmtId="0" fontId="1" fillId="0" borderId="0" xfId="0" applyFont="1" applyAlignment="1">
      <alignment vertical="top" wrapText="1"/>
    </xf>
    <xf numFmtId="0" fontId="0" fillId="0" borderId="0" xfId="0" applyAlignment="1">
      <alignment vertical="top" wrapText="1"/>
    </xf>
    <xf numFmtId="9" fontId="0" fillId="0" borderId="0" xfId="0" applyNumberFormat="1"/>
    <xf numFmtId="0" fontId="1" fillId="0" borderId="0" xfId="0" applyFont="1" applyAlignment="1">
      <alignment horizontal="center"/>
    </xf>
    <xf numFmtId="0" fontId="0" fillId="11" borderId="0" xfId="0" applyFill="1" applyAlignment="1">
      <alignment vertical="center"/>
    </xf>
    <xf numFmtId="9" fontId="0" fillId="11" borderId="0" xfId="0" applyNumberFormat="1" applyFill="1" applyAlignment="1">
      <alignment vertical="center"/>
    </xf>
    <xf numFmtId="2" fontId="0" fillId="0" borderId="0" xfId="0" applyNumberFormat="1" applyAlignment="1">
      <alignment vertical="center"/>
    </xf>
    <xf numFmtId="2" fontId="0" fillId="11" borderId="0" xfId="0" applyNumberFormat="1" applyFill="1"/>
    <xf numFmtId="0" fontId="0" fillId="12" borderId="0" xfId="0" applyFill="1"/>
    <xf numFmtId="0" fontId="8" fillId="0" borderId="0" xfId="0" applyFont="1" applyAlignment="1">
      <alignment horizontal="center" wrapText="1"/>
    </xf>
    <xf numFmtId="0" fontId="0" fillId="13" borderId="0" xfId="0" applyFill="1" applyAlignment="1">
      <alignment vertical="center"/>
    </xf>
    <xf numFmtId="9" fontId="0" fillId="13" borderId="0" xfId="0" applyNumberFormat="1" applyFill="1" applyAlignment="1">
      <alignment vertical="center"/>
    </xf>
    <xf numFmtId="0" fontId="0" fillId="13" borderId="0" xfId="0" applyFill="1"/>
    <xf numFmtId="0" fontId="8" fillId="0" borderId="0" xfId="0" applyFont="1" applyAlignment="1">
      <alignment horizontal="center" vertical="center" wrapText="1"/>
    </xf>
    <xf numFmtId="0" fontId="0" fillId="14" borderId="0" xfId="0" applyFill="1" applyAlignment="1">
      <alignment vertical="center"/>
    </xf>
    <xf numFmtId="9" fontId="0" fillId="14" borderId="0" xfId="0" applyNumberFormat="1" applyFill="1" applyAlignment="1">
      <alignment vertical="center"/>
    </xf>
    <xf numFmtId="0" fontId="0" fillId="11" borderId="0" xfId="0" applyFill="1"/>
    <xf numFmtId="0" fontId="64" fillId="0" borderId="0" xfId="0" applyFont="1" applyAlignment="1">
      <alignment horizontal="center" vertical="center" wrapText="1"/>
    </xf>
    <xf numFmtId="0" fontId="66" fillId="13" borderId="0" xfId="0" applyFont="1" applyFill="1" applyAlignment="1">
      <alignment vertical="center"/>
    </xf>
    <xf numFmtId="9" fontId="66" fillId="13" borderId="0" xfId="0" applyNumberFormat="1" applyFont="1" applyFill="1" applyAlignment="1">
      <alignment vertical="center"/>
    </xf>
    <xf numFmtId="0" fontId="0" fillId="2" borderId="0" xfId="0" applyFill="1"/>
    <xf numFmtId="0" fontId="8" fillId="0" borderId="0" xfId="0" applyFont="1" applyAlignment="1">
      <alignment horizontal="center"/>
    </xf>
    <xf numFmtId="9" fontId="0" fillId="0" borderId="0" xfId="0" applyNumberFormat="1" applyAlignment="1">
      <alignment vertical="center"/>
    </xf>
    <xf numFmtId="0" fontId="67" fillId="0" borderId="0" xfId="0" applyFont="1" applyAlignment="1">
      <alignment horizontal="center"/>
    </xf>
    <xf numFmtId="2" fontId="0" fillId="11" borderId="0" xfId="0" applyNumberFormat="1" applyFill="1" applyAlignment="1">
      <alignment vertical="center"/>
    </xf>
    <xf numFmtId="2" fontId="0" fillId="0" borderId="0" xfId="0" applyNumberFormat="1"/>
    <xf numFmtId="0" fontId="0" fillId="12" borderId="0" xfId="0" applyFill="1" applyAlignment="1">
      <alignment vertical="center"/>
    </xf>
    <xf numFmtId="9" fontId="0" fillId="12" borderId="0" xfId="0" applyNumberFormat="1" applyFill="1" applyAlignment="1">
      <alignment vertical="center"/>
    </xf>
    <xf numFmtId="1" fontId="0" fillId="0" borderId="0" xfId="0" applyNumberFormat="1" applyAlignment="1">
      <alignment vertical="center"/>
    </xf>
    <xf numFmtId="1" fontId="0" fillId="0" borderId="0" xfId="0" applyNumberFormat="1"/>
    <xf numFmtId="0" fontId="0" fillId="15" borderId="0" xfId="0" applyFill="1"/>
    <xf numFmtId="2" fontId="1" fillId="0" borderId="0" xfId="0" applyNumberFormat="1" applyFont="1" applyAlignment="1">
      <alignment vertical="center"/>
    </xf>
    <xf numFmtId="0" fontId="1" fillId="3" borderId="0" xfId="0" applyFont="1" applyFill="1" applyAlignment="1">
      <alignment horizontal="left"/>
    </xf>
    <xf numFmtId="0" fontId="8" fillId="3" borderId="1" xfId="0" applyFont="1" applyFill="1" applyBorder="1" applyAlignment="1">
      <alignment horizontal="center" vertical="center"/>
    </xf>
    <xf numFmtId="2" fontId="8" fillId="3" borderId="1" xfId="0" applyNumberFormat="1" applyFont="1" applyFill="1" applyBorder="1" applyAlignment="1">
      <alignment horizontal="center" vertical="center" wrapText="1"/>
    </xf>
    <xf numFmtId="2" fontId="0" fillId="3" borderId="6" xfId="0" applyNumberFormat="1" applyFill="1" applyBorder="1" applyAlignment="1">
      <alignment horizontal="center" vertical="center"/>
    </xf>
    <xf numFmtId="0" fontId="8" fillId="3" borderId="1" xfId="0" applyFont="1" applyFill="1" applyBorder="1" applyAlignment="1">
      <alignment horizontal="center" vertical="center" wrapText="1"/>
    </xf>
    <xf numFmtId="2" fontId="0" fillId="3" borderId="1" xfId="0" applyNumberFormat="1" applyFill="1" applyBorder="1" applyAlignment="1">
      <alignment horizontal="center" vertical="center"/>
    </xf>
    <xf numFmtId="0" fontId="0" fillId="3" borderId="0" xfId="0" applyFill="1" applyBorder="1" applyAlignment="1">
      <alignment horizontal="center" vertical="center"/>
    </xf>
    <xf numFmtId="2" fontId="0" fillId="3" borderId="0" xfId="0" applyNumberFormat="1" applyFill="1" applyBorder="1" applyAlignment="1">
      <alignment horizontal="center" vertical="center"/>
    </xf>
    <xf numFmtId="0" fontId="8" fillId="0" borderId="1" xfId="0" applyFont="1" applyBorder="1" applyAlignment="1">
      <alignment horizontal="center" vertical="center"/>
    </xf>
    <xf numFmtId="2" fontId="8" fillId="0" borderId="1" xfId="0" applyNumberFormat="1" applyFont="1" applyBorder="1" applyAlignment="1">
      <alignment horizontal="center" vertical="center" wrapText="1"/>
    </xf>
    <xf numFmtId="0" fontId="0" fillId="0" borderId="6" xfId="0" applyBorder="1" applyAlignment="1">
      <alignment horizontal="center" vertical="center"/>
    </xf>
    <xf numFmtId="0" fontId="0" fillId="0" borderId="9" xfId="0" applyBorder="1" applyAlignment="1">
      <alignment horizontal="center" vertical="center"/>
    </xf>
    <xf numFmtId="0" fontId="8" fillId="0" borderId="58" xfId="0" applyFont="1" applyBorder="1" applyAlignment="1">
      <alignment horizontal="center" vertical="center"/>
    </xf>
    <xf numFmtId="2" fontId="8" fillId="0" borderId="59" xfId="0" applyNumberFormat="1" applyFont="1" applyBorder="1" applyAlignment="1">
      <alignment horizontal="center" vertical="center" wrapText="1"/>
    </xf>
    <xf numFmtId="0" fontId="8" fillId="0" borderId="40" xfId="0" applyFont="1" applyBorder="1" applyAlignment="1">
      <alignment horizontal="center" vertical="center" wrapText="1"/>
    </xf>
    <xf numFmtId="0" fontId="8" fillId="0" borderId="40" xfId="0" applyFont="1" applyBorder="1" applyAlignment="1">
      <alignment horizontal="center" vertical="center"/>
    </xf>
    <xf numFmtId="0" fontId="0" fillId="0" borderId="40" xfId="0" applyBorder="1" applyAlignment="1">
      <alignment horizontal="center" vertical="center"/>
    </xf>
    <xf numFmtId="0" fontId="0" fillId="0" borderId="0" xfId="0" applyAlignment="1">
      <alignment vertical="center" wrapText="1"/>
    </xf>
    <xf numFmtId="0" fontId="8" fillId="0" borderId="38" xfId="0" applyFont="1" applyBorder="1" applyAlignment="1">
      <alignment horizontal="center" vertical="center" wrapText="1"/>
    </xf>
    <xf numFmtId="0" fontId="0" fillId="0" borderId="38" xfId="0" applyBorder="1" applyAlignment="1">
      <alignment horizontal="center" vertical="center"/>
    </xf>
    <xf numFmtId="0" fontId="8" fillId="0" borderId="9" xfId="0" applyFont="1" applyFill="1" applyBorder="1" applyAlignment="1">
      <alignment horizontal="center" vertical="center" wrapText="1"/>
    </xf>
    <xf numFmtId="0" fontId="0" fillId="3" borderId="9" xfId="0" applyFill="1" applyBorder="1" applyAlignment="1">
      <alignment horizontal="center" vertical="center"/>
    </xf>
    <xf numFmtId="0" fontId="0" fillId="3" borderId="5" xfId="0" applyFill="1" applyBorder="1" applyAlignment="1">
      <alignment horizontal="center" vertical="center"/>
    </xf>
    <xf numFmtId="0" fontId="7" fillId="0" borderId="1" xfId="0" applyFont="1" applyBorder="1" applyAlignment="1">
      <alignment vertical="center" wrapText="1"/>
    </xf>
    <xf numFmtId="1" fontId="0" fillId="0" borderId="1" xfId="0" applyNumberFormat="1" applyBorder="1" applyAlignment="1">
      <alignment horizontal="center" vertical="center"/>
    </xf>
    <xf numFmtId="0" fontId="8" fillId="0" borderId="1" xfId="0" applyFont="1" applyBorder="1" applyAlignment="1">
      <alignment horizontal="center" vertical="top" wrapText="1"/>
    </xf>
    <xf numFmtId="0" fontId="74"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alignment horizontal="center" vertical="center" wrapText="1"/>
    </xf>
    <xf numFmtId="0" fontId="0" fillId="3" borderId="0" xfId="0" applyFont="1" applyFill="1" applyAlignment="1">
      <alignment horizontal="center" vertical="center"/>
    </xf>
    <xf numFmtId="0" fontId="77" fillId="0" borderId="0" xfId="0" applyFont="1" applyAlignment="1">
      <alignment horizontal="center" vertical="center"/>
    </xf>
    <xf numFmtId="0" fontId="78" fillId="0" borderId="65" xfId="0" applyFont="1" applyBorder="1" applyAlignment="1">
      <alignment horizontal="center" vertical="center" wrapText="1"/>
    </xf>
    <xf numFmtId="0" fontId="78" fillId="0" borderId="68" xfId="0" applyFont="1" applyBorder="1" applyAlignment="1">
      <alignment horizontal="center" vertical="center" wrapText="1"/>
    </xf>
    <xf numFmtId="0" fontId="82" fillId="0" borderId="68" xfId="0" applyFont="1" applyBorder="1" applyAlignment="1">
      <alignment horizontal="center" vertical="center" wrapText="1"/>
    </xf>
    <xf numFmtId="0" fontId="80" fillId="3" borderId="68" xfId="0" applyFont="1" applyFill="1" applyBorder="1" applyAlignment="1">
      <alignment horizontal="center" vertical="center" wrapText="1"/>
    </xf>
    <xf numFmtId="0" fontId="80" fillId="16" borderId="67" xfId="0" applyFont="1" applyFill="1" applyBorder="1" applyAlignment="1">
      <alignment horizontal="center" vertical="center" wrapText="1"/>
    </xf>
    <xf numFmtId="0" fontId="0" fillId="0" borderId="1" xfId="0" applyFont="1" applyBorder="1" applyAlignment="1">
      <alignment horizontal="center" vertical="center"/>
    </xf>
    <xf numFmtId="0" fontId="0" fillId="0" borderId="0" xfId="0" applyFont="1" applyBorder="1" applyAlignment="1">
      <alignment horizontal="center" vertical="center"/>
    </xf>
    <xf numFmtId="2" fontId="80" fillId="3" borderId="67" xfId="0" applyNumberFormat="1" applyFont="1" applyFill="1" applyBorder="1" applyAlignment="1">
      <alignment horizontal="center" vertical="center" wrapText="1"/>
    </xf>
    <xf numFmtId="2" fontId="0" fillId="3" borderId="0" xfId="0" applyNumberFormat="1" applyFont="1" applyFill="1" applyAlignment="1">
      <alignment horizontal="center" vertical="center"/>
    </xf>
    <xf numFmtId="0" fontId="82" fillId="0" borderId="64" xfId="0" applyFont="1" applyBorder="1" applyAlignment="1">
      <alignment horizontal="center" vertical="center" wrapText="1"/>
    </xf>
    <xf numFmtId="0" fontId="80" fillId="3" borderId="64" xfId="0" applyFont="1" applyFill="1" applyBorder="1" applyAlignment="1">
      <alignment horizontal="center" vertical="center" wrapText="1"/>
    </xf>
    <xf numFmtId="0" fontId="80" fillId="3" borderId="0" xfId="0" applyFont="1" applyFill="1" applyBorder="1" applyAlignment="1">
      <alignment horizontal="center" vertical="center" wrapText="1"/>
    </xf>
    <xf numFmtId="0" fontId="81" fillId="0" borderId="72" xfId="0" applyFont="1" applyBorder="1" applyAlignment="1">
      <alignment horizontal="center" vertical="center" wrapText="1"/>
    </xf>
    <xf numFmtId="0" fontId="82" fillId="0" borderId="51" xfId="0" applyFont="1" applyBorder="1" applyAlignment="1">
      <alignment horizontal="center" vertical="center" wrapText="1"/>
    </xf>
    <xf numFmtId="0" fontId="80" fillId="3" borderId="73" xfId="0" applyFont="1" applyFill="1" applyBorder="1" applyAlignment="1">
      <alignment horizontal="center" vertical="center" wrapText="1"/>
    </xf>
    <xf numFmtId="2" fontId="80" fillId="3" borderId="74" xfId="0" applyNumberFormat="1" applyFont="1" applyFill="1" applyBorder="1" applyAlignment="1">
      <alignment horizontal="center" vertical="center" wrapText="1"/>
    </xf>
    <xf numFmtId="0" fontId="81" fillId="0" borderId="51" xfId="0" applyFont="1" applyBorder="1" applyAlignment="1">
      <alignment horizontal="center" vertical="center" wrapText="1"/>
    </xf>
    <xf numFmtId="2" fontId="80" fillId="3" borderId="68" xfId="0" applyNumberFormat="1" applyFont="1" applyFill="1" applyBorder="1" applyAlignment="1">
      <alignment horizontal="center" vertical="center" wrapText="1"/>
    </xf>
    <xf numFmtId="0" fontId="81" fillId="0" borderId="1" xfId="0" applyFont="1" applyBorder="1" applyAlignment="1">
      <alignment horizontal="center" vertical="center" wrapText="1"/>
    </xf>
    <xf numFmtId="0" fontId="81" fillId="0" borderId="0" xfId="0" applyFont="1" applyAlignment="1">
      <alignment horizontal="center" vertical="center" wrapText="1"/>
    </xf>
    <xf numFmtId="0" fontId="81" fillId="3" borderId="0" xfId="0" applyFont="1" applyFill="1" applyAlignment="1">
      <alignment horizontal="center" vertical="center" wrapText="1"/>
    </xf>
    <xf numFmtId="0" fontId="81" fillId="0" borderId="64" xfId="0" applyFont="1" applyBorder="1" applyAlignment="1">
      <alignment horizontal="center" vertical="center" wrapText="1"/>
    </xf>
    <xf numFmtId="0" fontId="80" fillId="3" borderId="77" xfId="0" applyFont="1" applyFill="1" applyBorder="1" applyAlignment="1">
      <alignment horizontal="center" vertical="center" wrapText="1"/>
    </xf>
    <xf numFmtId="0" fontId="80" fillId="3" borderId="66" xfId="0" applyFont="1" applyFill="1" applyBorder="1" applyAlignment="1">
      <alignment horizontal="center" vertical="center" wrapText="1"/>
    </xf>
    <xf numFmtId="2" fontId="81" fillId="3" borderId="0" xfId="0" applyNumberFormat="1" applyFont="1" applyFill="1" applyAlignment="1">
      <alignment horizontal="center" vertical="center"/>
    </xf>
    <xf numFmtId="0" fontId="78" fillId="0" borderId="73" xfId="0" applyFont="1" applyBorder="1" applyAlignment="1">
      <alignment horizontal="center" vertical="center" wrapText="1"/>
    </xf>
    <xf numFmtId="0" fontId="80" fillId="3" borderId="78" xfId="0" applyFont="1" applyFill="1" applyBorder="1" applyAlignment="1">
      <alignment horizontal="center" vertical="center" wrapText="1"/>
    </xf>
    <xf numFmtId="0" fontId="80" fillId="3" borderId="50" xfId="0" applyFont="1" applyFill="1" applyBorder="1" applyAlignment="1">
      <alignment horizontal="center" vertical="center" wrapText="1"/>
    </xf>
    <xf numFmtId="0" fontId="80" fillId="3" borderId="67" xfId="0" applyFont="1" applyFill="1" applyBorder="1" applyAlignment="1">
      <alignment horizontal="center" vertical="center" wrapText="1"/>
    </xf>
    <xf numFmtId="0" fontId="66" fillId="16" borderId="66" xfId="0" applyFont="1" applyFill="1" applyBorder="1" applyAlignment="1">
      <alignment horizontal="center" vertical="center" wrapText="1"/>
    </xf>
    <xf numFmtId="0" fontId="81" fillId="3" borderId="0" xfId="0" applyFont="1" applyFill="1" applyBorder="1" applyAlignment="1">
      <alignment horizontal="center" vertical="center" wrapText="1"/>
    </xf>
    <xf numFmtId="0" fontId="86" fillId="0" borderId="83" xfId="0" applyFont="1" applyBorder="1" applyAlignment="1">
      <alignment horizontal="center" vertical="center" wrapText="1"/>
    </xf>
    <xf numFmtId="0" fontId="80" fillId="3" borderId="1" xfId="0" applyFont="1" applyFill="1" applyBorder="1" applyAlignment="1">
      <alignment horizontal="center" vertical="center" wrapText="1"/>
    </xf>
    <xf numFmtId="0" fontId="66" fillId="16" borderId="84" xfId="0" applyFont="1" applyFill="1" applyBorder="1" applyAlignment="1">
      <alignment vertical="center" wrapText="1"/>
    </xf>
    <xf numFmtId="0" fontId="81" fillId="0" borderId="68" xfId="0" applyFont="1" applyBorder="1" applyAlignment="1">
      <alignment horizontal="center" vertical="center" wrapText="1"/>
    </xf>
    <xf numFmtId="0" fontId="66" fillId="16" borderId="16" xfId="0" applyFont="1" applyFill="1" applyBorder="1" applyAlignment="1">
      <alignment vertical="center" wrapText="1"/>
    </xf>
    <xf numFmtId="0" fontId="86" fillId="0" borderId="68" xfId="0" applyFont="1" applyBorder="1" applyAlignment="1">
      <alignment horizontal="center" vertical="center" wrapText="1"/>
    </xf>
    <xf numFmtId="0" fontId="80" fillId="3" borderId="6" xfId="0" applyFont="1" applyFill="1" applyBorder="1" applyAlignment="1">
      <alignment horizontal="center" vertical="center" wrapText="1"/>
    </xf>
    <xf numFmtId="0" fontId="66" fillId="16" borderId="51" xfId="0" applyFont="1" applyFill="1" applyBorder="1" applyAlignment="1">
      <alignment horizontal="center" wrapText="1"/>
    </xf>
    <xf numFmtId="0" fontId="78" fillId="0" borderId="51" xfId="0" applyFont="1" applyBorder="1" applyAlignment="1">
      <alignment horizontal="center" vertical="center" wrapText="1"/>
    </xf>
    <xf numFmtId="0" fontId="80" fillId="16" borderId="51" xfId="0" applyFont="1" applyFill="1" applyBorder="1" applyAlignment="1">
      <alignment horizontal="center" vertical="center" wrapText="1"/>
    </xf>
    <xf numFmtId="0" fontId="80" fillId="16" borderId="3" xfId="0" applyFont="1" applyFill="1" applyBorder="1" applyAlignment="1">
      <alignment vertical="center" wrapText="1"/>
    </xf>
    <xf numFmtId="0" fontId="80" fillId="16" borderId="85" xfId="0" applyFont="1" applyFill="1" applyBorder="1" applyAlignment="1">
      <alignment vertical="center" wrapText="1"/>
    </xf>
    <xf numFmtId="0" fontId="80" fillId="3" borderId="11" xfId="0" applyFont="1" applyFill="1" applyBorder="1" applyAlignment="1">
      <alignment horizontal="center" vertical="center" wrapText="1"/>
    </xf>
    <xf numFmtId="0" fontId="80" fillId="3" borderId="49" xfId="0" applyFont="1" applyFill="1" applyBorder="1" applyAlignment="1">
      <alignment horizontal="center" vertical="center" wrapText="1"/>
    </xf>
    <xf numFmtId="0" fontId="80" fillId="16" borderId="86" xfId="0" applyFont="1" applyFill="1" applyBorder="1" applyAlignment="1">
      <alignment vertical="center" wrapText="1"/>
    </xf>
    <xf numFmtId="164" fontId="80" fillId="3" borderId="87" xfId="0" applyNumberFormat="1" applyFont="1" applyFill="1" applyBorder="1" applyAlignment="1">
      <alignment horizontal="center" vertical="center" wrapText="1"/>
    </xf>
    <xf numFmtId="0" fontId="78" fillId="0" borderId="64" xfId="0" applyFont="1" applyBorder="1" applyAlignment="1">
      <alignment horizontal="center" vertical="center" wrapText="1"/>
    </xf>
    <xf numFmtId="1" fontId="80" fillId="3" borderId="68" xfId="0" applyNumberFormat="1" applyFont="1" applyFill="1" applyBorder="1" applyAlignment="1">
      <alignment horizontal="center" vertical="center" wrapText="1"/>
    </xf>
    <xf numFmtId="0" fontId="86" fillId="0" borderId="51" xfId="0" applyFont="1" applyBorder="1" applyAlignment="1">
      <alignment horizontal="center" vertical="center" wrapText="1"/>
    </xf>
    <xf numFmtId="0" fontId="80" fillId="3" borderId="65" xfId="0" applyFont="1" applyFill="1" applyBorder="1" applyAlignment="1">
      <alignment horizontal="center" vertical="center" wrapText="1"/>
    </xf>
    <xf numFmtId="0" fontId="66" fillId="16" borderId="70" xfId="0" applyFont="1" applyFill="1" applyBorder="1" applyAlignment="1">
      <alignment horizontal="center" vertical="center" wrapText="1"/>
    </xf>
    <xf numFmtId="0" fontId="66" fillId="16" borderId="0" xfId="0" applyFont="1" applyFill="1" applyBorder="1" applyAlignment="1">
      <alignment horizontal="center" vertical="center" wrapText="1"/>
    </xf>
    <xf numFmtId="0" fontId="81" fillId="0" borderId="0" xfId="0" applyFont="1" applyBorder="1" applyAlignment="1">
      <alignment horizontal="center" vertical="center" wrapText="1"/>
    </xf>
    <xf numFmtId="1" fontId="80" fillId="3" borderId="51" xfId="0" applyNumberFormat="1" applyFont="1" applyFill="1" applyBorder="1" applyAlignment="1">
      <alignment horizontal="center" vertical="center" wrapText="1"/>
    </xf>
    <xf numFmtId="164" fontId="66" fillId="16" borderId="0" xfId="0" applyNumberFormat="1" applyFont="1" applyFill="1" applyBorder="1" applyAlignment="1">
      <alignment horizontal="center" vertical="center" wrapText="1"/>
    </xf>
    <xf numFmtId="1" fontId="0" fillId="3" borderId="0" xfId="0" applyNumberFormat="1" applyFont="1" applyFill="1" applyAlignment="1">
      <alignment horizontal="center" vertical="center"/>
    </xf>
    <xf numFmtId="0" fontId="0" fillId="0" borderId="51" xfId="0" applyFont="1" applyBorder="1" applyAlignment="1">
      <alignment horizontal="center" vertical="center" wrapText="1"/>
    </xf>
    <xf numFmtId="0" fontId="80" fillId="3" borderId="51" xfId="0" applyFont="1" applyFill="1" applyBorder="1" applyAlignment="1">
      <alignment horizontal="center" vertical="center" wrapText="1"/>
    </xf>
    <xf numFmtId="0" fontId="86" fillId="0" borderId="67" xfId="0" applyFont="1" applyBorder="1" applyAlignment="1">
      <alignment horizontal="center" vertical="center" wrapText="1"/>
    </xf>
    <xf numFmtId="0" fontId="66" fillId="16" borderId="48" xfId="0" applyFont="1" applyFill="1" applyBorder="1" applyAlignment="1">
      <alignment horizontal="center" vertical="center" wrapText="1"/>
    </xf>
    <xf numFmtId="0" fontId="86" fillId="0" borderId="64" xfId="0" applyFont="1" applyBorder="1" applyAlignment="1">
      <alignment horizontal="center" vertical="center" wrapText="1"/>
    </xf>
    <xf numFmtId="0" fontId="0" fillId="0" borderId="8" xfId="0" applyFont="1" applyBorder="1" applyAlignment="1">
      <alignment horizontal="center" vertical="center"/>
    </xf>
    <xf numFmtId="0" fontId="80" fillId="16" borderId="70" xfId="0" applyFont="1" applyFill="1" applyBorder="1" applyAlignment="1">
      <alignment horizontal="center" vertical="center" wrapText="1"/>
    </xf>
    <xf numFmtId="0" fontId="81" fillId="0" borderId="67" xfId="0" applyFont="1" applyBorder="1" applyAlignment="1">
      <alignment horizontal="center" vertical="center" wrapText="1"/>
    </xf>
    <xf numFmtId="0" fontId="0" fillId="0" borderId="51" xfId="0" applyFont="1" applyBorder="1" applyAlignment="1">
      <alignment horizontal="center" vertical="center"/>
    </xf>
    <xf numFmtId="0" fontId="0" fillId="16" borderId="0" xfId="0" applyFont="1" applyFill="1" applyAlignment="1">
      <alignment horizontal="center" vertical="center"/>
    </xf>
    <xf numFmtId="0" fontId="80" fillId="16" borderId="0" xfId="0" applyFont="1" applyFill="1" applyBorder="1" applyAlignment="1">
      <alignment horizontal="center" vertical="center" wrapText="1"/>
    </xf>
    <xf numFmtId="2" fontId="80" fillId="3" borderId="48" xfId="0" applyNumberFormat="1" applyFont="1" applyFill="1" applyBorder="1" applyAlignment="1">
      <alignment horizontal="center" vertical="center" wrapText="1"/>
    </xf>
    <xf numFmtId="0" fontId="80" fillId="3" borderId="48" xfId="0" applyFont="1" applyFill="1" applyBorder="1" applyAlignment="1">
      <alignment horizontal="center" vertical="center" wrapText="1"/>
    </xf>
    <xf numFmtId="165" fontId="81" fillId="3" borderId="0" xfId="0" applyNumberFormat="1" applyFont="1" applyFill="1" applyBorder="1" applyAlignment="1">
      <alignment vertical="center" wrapText="1"/>
    </xf>
    <xf numFmtId="0" fontId="81" fillId="0" borderId="0" xfId="0" applyFont="1" applyBorder="1" applyAlignment="1">
      <alignment vertical="center" wrapText="1"/>
    </xf>
    <xf numFmtId="0" fontId="80" fillId="3" borderId="89" xfId="0" applyFont="1" applyFill="1" applyBorder="1" applyAlignment="1">
      <alignment horizontal="center" vertical="center" wrapText="1"/>
    </xf>
    <xf numFmtId="2" fontId="80" fillId="3" borderId="19" xfId="0" applyNumberFormat="1" applyFont="1" applyFill="1" applyBorder="1" applyAlignment="1">
      <alignment horizontal="center" vertical="center" wrapText="1"/>
    </xf>
    <xf numFmtId="0" fontId="80" fillId="16" borderId="73" xfId="0" applyFont="1" applyFill="1" applyBorder="1" applyAlignment="1">
      <alignment horizontal="center" vertical="center" wrapText="1"/>
    </xf>
    <xf numFmtId="0" fontId="88" fillId="0" borderId="68" xfId="0" applyFont="1" applyBorder="1" applyAlignment="1">
      <alignment horizontal="center" vertical="center" wrapText="1"/>
    </xf>
    <xf numFmtId="0" fontId="80" fillId="16" borderId="68" xfId="0" applyFont="1" applyFill="1" applyBorder="1" applyAlignment="1">
      <alignment horizontal="center" vertical="center" wrapText="1"/>
    </xf>
    <xf numFmtId="0" fontId="0" fillId="0" borderId="9" xfId="0" applyFont="1" applyBorder="1" applyAlignment="1">
      <alignment horizontal="center" vertical="center" wrapText="1"/>
    </xf>
    <xf numFmtId="2" fontId="0" fillId="0" borderId="0" xfId="0" applyNumberFormat="1" applyFont="1" applyAlignment="1">
      <alignment horizontal="center" vertical="center"/>
    </xf>
    <xf numFmtId="0" fontId="90" fillId="0" borderId="92" xfId="0" applyFont="1" applyBorder="1" applyAlignment="1">
      <alignment horizontal="center" vertical="center" wrapText="1"/>
    </xf>
    <xf numFmtId="0" fontId="81" fillId="0" borderId="93" xfId="0" applyFont="1" applyBorder="1" applyAlignment="1">
      <alignment horizontal="center" vertical="center" wrapText="1"/>
    </xf>
    <xf numFmtId="2" fontId="0" fillId="0" borderId="1" xfId="0" applyNumberFormat="1" applyFont="1" applyBorder="1" applyAlignment="1">
      <alignment horizontal="center" vertical="center" wrapText="1"/>
    </xf>
    <xf numFmtId="0" fontId="91" fillId="0" borderId="0" xfId="0" applyFont="1"/>
    <xf numFmtId="0" fontId="81" fillId="0" borderId="50" xfId="0" applyFont="1" applyBorder="1" applyAlignment="1">
      <alignment vertical="center" wrapText="1"/>
    </xf>
    <xf numFmtId="0" fontId="81" fillId="0" borderId="56" xfId="0" applyFont="1" applyBorder="1" applyAlignment="1">
      <alignment horizontal="center" vertical="center" wrapText="1"/>
    </xf>
    <xf numFmtId="0" fontId="81" fillId="0" borderId="94" xfId="0" applyFont="1" applyBorder="1" applyAlignment="1">
      <alignment horizontal="center" vertical="center" wrapText="1"/>
    </xf>
    <xf numFmtId="0" fontId="78" fillId="0" borderId="0" xfId="0" applyFont="1" applyAlignment="1">
      <alignment horizontal="center" vertical="center"/>
    </xf>
    <xf numFmtId="164" fontId="0" fillId="0" borderId="0" xfId="0" applyNumberFormat="1" applyFont="1" applyAlignment="1">
      <alignment horizontal="center" vertical="center" wrapText="1"/>
    </xf>
    <xf numFmtId="0" fontId="1" fillId="0" borderId="0" xfId="0" applyFont="1" applyAlignment="1">
      <alignment horizontal="center" vertical="top" wrapText="1"/>
    </xf>
    <xf numFmtId="0" fontId="57" fillId="0" borderId="0" xfId="0" applyFont="1" applyAlignment="1">
      <alignment horizontal="center"/>
    </xf>
    <xf numFmtId="0" fontId="57" fillId="0" borderId="0" xfId="0" applyFont="1" applyBorder="1" applyAlignment="1">
      <alignment horizontal="center"/>
    </xf>
    <xf numFmtId="0" fontId="58" fillId="0" borderId="39" xfId="0" applyFont="1" applyBorder="1" applyAlignment="1">
      <alignment horizontal="center" vertical="center" wrapText="1"/>
    </xf>
    <xf numFmtId="0" fontId="58" fillId="0" borderId="34" xfId="0" applyFont="1" applyBorder="1" applyAlignment="1">
      <alignment horizontal="center" vertical="center" wrapText="1"/>
    </xf>
    <xf numFmtId="0" fontId="58" fillId="0" borderId="40" xfId="0" applyFont="1" applyBorder="1" applyAlignment="1">
      <alignment horizontal="center" vertical="center" textRotation="90" wrapText="1"/>
    </xf>
    <xf numFmtId="0" fontId="8" fillId="0" borderId="38" xfId="0" applyFont="1" applyBorder="1"/>
    <xf numFmtId="0" fontId="58" fillId="0" borderId="38" xfId="0" applyFont="1" applyBorder="1" applyAlignment="1">
      <alignment horizontal="center" vertical="center" textRotation="90" wrapText="1"/>
    </xf>
    <xf numFmtId="0" fontId="60" fillId="0" borderId="40" xfId="0" applyFont="1" applyBorder="1" applyAlignment="1">
      <alignment horizontal="center" vertical="center" wrapText="1"/>
    </xf>
    <xf numFmtId="0" fontId="60" fillId="0" borderId="41" xfId="0" applyFont="1" applyBorder="1" applyAlignment="1">
      <alignment horizontal="center" vertical="center" wrapText="1"/>
    </xf>
    <xf numFmtId="0" fontId="2" fillId="0" borderId="0" xfId="0" applyFont="1" applyAlignment="1">
      <alignment horizontal="center" vertical="top" wrapText="1"/>
    </xf>
    <xf numFmtId="0" fontId="4" fillId="0" borderId="0" xfId="0" applyFont="1" applyAlignment="1">
      <alignment horizontal="center" vertical="top" wrapText="1"/>
    </xf>
    <xf numFmtId="0" fontId="1" fillId="3" borderId="0" xfId="0" applyFont="1" applyFill="1" applyAlignment="1">
      <alignment horizontal="left" vertical="top" wrapText="1"/>
    </xf>
    <xf numFmtId="0" fontId="8" fillId="3" borderId="1" xfId="0" applyFont="1" applyFill="1" applyBorder="1" applyAlignment="1">
      <alignment horizontal="center" vertical="center"/>
    </xf>
    <xf numFmtId="0" fontId="0" fillId="3" borderId="15" xfId="0" applyFill="1" applyBorder="1" applyAlignment="1">
      <alignment horizontal="center" vertical="center"/>
    </xf>
    <xf numFmtId="0" fontId="0" fillId="3" borderId="1" xfId="0" applyFill="1" applyBorder="1" applyAlignment="1">
      <alignment horizontal="center" vertical="center"/>
    </xf>
    <xf numFmtId="0" fontId="1" fillId="3" borderId="0" xfId="0" applyFont="1" applyFill="1" applyBorder="1" applyAlignment="1">
      <alignment horizontal="left" vertic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5" xfId="0" applyBorder="1" applyAlignment="1">
      <alignment horizontal="center"/>
    </xf>
    <xf numFmtId="0" fontId="0" fillId="0" borderId="9" xfId="0" applyBorder="1" applyAlignment="1">
      <alignment horizontal="center"/>
    </xf>
    <xf numFmtId="0" fontId="0" fillId="0" borderId="1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horizontal="center" vertical="center"/>
    </xf>
    <xf numFmtId="0" fontId="0" fillId="0" borderId="0" xfId="0" applyBorder="1" applyAlignment="1">
      <alignment horizontal="center"/>
    </xf>
    <xf numFmtId="0" fontId="68" fillId="0" borderId="0" xfId="0" applyFont="1" applyAlignment="1">
      <alignment horizontal="left" vertical="top" wrapText="1"/>
    </xf>
    <xf numFmtId="0" fontId="8" fillId="0" borderId="1" xfId="0" applyFont="1"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68" fillId="0" borderId="0" xfId="0" applyFont="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5" xfId="0" applyFont="1" applyBorder="1" applyAlignment="1">
      <alignment horizontal="center" vertical="center"/>
    </xf>
    <xf numFmtId="0" fontId="8" fillId="0" borderId="9" xfId="0" applyFont="1" applyBorder="1" applyAlignment="1">
      <alignment horizontal="center" vertical="center"/>
    </xf>
    <xf numFmtId="2" fontId="8" fillId="0" borderId="5" xfId="0" applyNumberFormat="1" applyFont="1" applyBorder="1" applyAlignment="1">
      <alignment horizontal="center" vertical="center" wrapText="1"/>
    </xf>
    <xf numFmtId="2" fontId="8" fillId="0" borderId="9" xfId="0" applyNumberFormat="1" applyFont="1" applyBorder="1" applyAlignment="1">
      <alignment horizontal="center" vertical="center" wrapText="1"/>
    </xf>
    <xf numFmtId="0" fontId="0" fillId="0" borderId="54" xfId="0" applyBorder="1" applyAlignment="1">
      <alignment horizontal="center" vertical="center"/>
    </xf>
    <xf numFmtId="0" fontId="0" fillId="0" borderId="62" xfId="0" applyBorder="1"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xf>
    <xf numFmtId="0" fontId="0" fillId="0" borderId="16" xfId="0" applyBorder="1" applyAlignment="1">
      <alignment horizontal="center" vertical="center"/>
    </xf>
    <xf numFmtId="0" fontId="1" fillId="0" borderId="0" xfId="0" applyFont="1" applyAlignment="1">
      <alignment horizontal="center"/>
    </xf>
    <xf numFmtId="0" fontId="8" fillId="0" borderId="60" xfId="0" applyFont="1" applyBorder="1" applyAlignment="1">
      <alignment horizontal="center" vertical="center"/>
    </xf>
    <xf numFmtId="0" fontId="8" fillId="0" borderId="58" xfId="0" applyFont="1" applyBorder="1" applyAlignment="1">
      <alignment horizontal="center" vertical="center"/>
    </xf>
    <xf numFmtId="0" fontId="0" fillId="0" borderId="20" xfId="0" applyFont="1" applyBorder="1" applyAlignment="1">
      <alignment horizontal="center" vertical="center"/>
    </xf>
    <xf numFmtId="0" fontId="0" fillId="0" borderId="17" xfId="0" applyFont="1" applyBorder="1" applyAlignment="1">
      <alignment horizontal="center" vertical="center"/>
    </xf>
    <xf numFmtId="0" fontId="0" fillId="0" borderId="21" xfId="0" applyFont="1" applyBorder="1" applyAlignment="1">
      <alignment horizontal="center" vertical="center"/>
    </xf>
    <xf numFmtId="0" fontId="0" fillId="0" borderId="22" xfId="0" applyBorder="1" applyAlignment="1">
      <alignment horizontal="center" vertical="center"/>
    </xf>
    <xf numFmtId="2" fontId="8" fillId="0" borderId="61" xfId="0" applyNumberFormat="1" applyFont="1" applyBorder="1" applyAlignment="1">
      <alignment horizontal="center" vertical="center" wrapText="1"/>
    </xf>
    <xf numFmtId="2" fontId="8" fillId="0" borderId="63" xfId="0" applyNumberFormat="1" applyFont="1" applyBorder="1" applyAlignment="1">
      <alignment horizontal="center" vertical="center" wrapText="1"/>
    </xf>
    <xf numFmtId="0" fontId="1" fillId="0" borderId="0" xfId="0" applyFont="1" applyAlignment="1">
      <alignment horizontal="left" vertical="top" wrapText="1"/>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38" xfId="0" applyBorder="1" applyAlignment="1">
      <alignment horizontal="center" vertical="center"/>
    </xf>
    <xf numFmtId="0" fontId="0" fillId="0" borderId="61" xfId="0" applyBorder="1" applyAlignment="1">
      <alignment horizontal="center" vertical="center"/>
    </xf>
    <xf numFmtId="0" fontId="0" fillId="0" borderId="63" xfId="0" applyBorder="1" applyAlignment="1">
      <alignment horizontal="center" vertical="center"/>
    </xf>
    <xf numFmtId="0" fontId="0" fillId="0" borderId="25" xfId="0" applyBorder="1" applyAlignment="1">
      <alignment horizontal="center" vertical="center"/>
    </xf>
    <xf numFmtId="0" fontId="0" fillId="0" borderId="9" xfId="0" applyBorder="1" applyAlignment="1">
      <alignment horizontal="center" vertical="center" wrapText="1"/>
    </xf>
    <xf numFmtId="0" fontId="0" fillId="0" borderId="5" xfId="0" applyBorder="1" applyAlignment="1">
      <alignment horizontal="center" vertical="center" wrapText="1"/>
    </xf>
    <xf numFmtId="0" fontId="0" fillId="0" borderId="61" xfId="0" applyBorder="1" applyAlignment="1">
      <alignment horizontal="center"/>
    </xf>
    <xf numFmtId="0" fontId="0" fillId="0" borderId="63" xfId="0" applyBorder="1" applyAlignment="1">
      <alignment horizontal="center"/>
    </xf>
    <xf numFmtId="0" fontId="0" fillId="0" borderId="42" xfId="0" applyBorder="1" applyAlignment="1">
      <alignment horizontal="center" vertical="center"/>
    </xf>
    <xf numFmtId="0" fontId="0" fillId="0" borderId="40" xfId="0" applyBorder="1" applyAlignment="1">
      <alignment horizontal="center" vertical="center" wrapText="1"/>
    </xf>
    <xf numFmtId="0" fontId="0" fillId="0" borderId="38" xfId="0" applyBorder="1" applyAlignment="1">
      <alignment horizontal="center" vertical="center" wrapText="1"/>
    </xf>
    <xf numFmtId="0" fontId="0" fillId="0" borderId="34" xfId="0" applyBorder="1" applyAlignment="1">
      <alignment horizontal="center" vertical="center"/>
    </xf>
    <xf numFmtId="0" fontId="0" fillId="0" borderId="6" xfId="0" applyBorder="1" applyAlignment="1">
      <alignment horizontal="center" vertical="top"/>
    </xf>
    <xf numFmtId="0" fontId="0" fillId="0" borderId="7" xfId="0" applyBorder="1" applyAlignment="1">
      <alignment horizontal="center" vertical="top"/>
    </xf>
    <xf numFmtId="0" fontId="0" fillId="0" borderId="8" xfId="0" applyBorder="1" applyAlignment="1">
      <alignment horizontal="center" vertical="top"/>
    </xf>
    <xf numFmtId="0" fontId="81" fillId="0" borderId="66" xfId="0" applyFont="1" applyBorder="1" applyAlignment="1">
      <alignment horizontal="center" vertical="center" wrapText="1"/>
    </xf>
    <xf numFmtId="0" fontId="81" fillId="0" borderId="70" xfId="0" applyFont="1" applyBorder="1" applyAlignment="1">
      <alignment horizontal="center" vertical="center" wrapText="1"/>
    </xf>
    <xf numFmtId="0" fontId="81" fillId="0" borderId="65" xfId="0" applyFont="1" applyBorder="1" applyAlignment="1">
      <alignment horizontal="center" vertical="center" wrapText="1"/>
    </xf>
    <xf numFmtId="0" fontId="0" fillId="0" borderId="5" xfId="0" applyFont="1" applyBorder="1" applyAlignment="1">
      <alignment horizontal="center" vertical="center" wrapText="1"/>
    </xf>
    <xf numFmtId="0" fontId="0" fillId="0" borderId="9" xfId="0" applyFont="1" applyBorder="1" applyAlignment="1">
      <alignment horizontal="center" vertical="center" wrapText="1"/>
    </xf>
    <xf numFmtId="0" fontId="81" fillId="0" borderId="48" xfId="0" applyFont="1" applyBorder="1" applyAlignment="1">
      <alignment horizontal="center" vertical="center" wrapText="1"/>
    </xf>
    <xf numFmtId="0" fontId="81" fillId="0" borderId="50" xfId="0" applyFont="1" applyBorder="1" applyAlignment="1">
      <alignment horizontal="center" vertical="center" wrapText="1"/>
    </xf>
    <xf numFmtId="0" fontId="81" fillId="0" borderId="56" xfId="0" applyFont="1" applyBorder="1" applyAlignment="1">
      <alignment horizontal="center" vertical="center" wrapText="1"/>
    </xf>
    <xf numFmtId="0" fontId="77" fillId="0" borderId="0" xfId="0" applyFont="1" applyAlignment="1">
      <alignment horizontal="center" vertical="center"/>
    </xf>
    <xf numFmtId="0" fontId="80" fillId="0" borderId="0" xfId="0" applyFont="1" applyAlignment="1">
      <alignment horizontal="center" vertical="center" wrapText="1"/>
    </xf>
    <xf numFmtId="0" fontId="80" fillId="0" borderId="64" xfId="0" applyFont="1" applyBorder="1" applyAlignment="1">
      <alignment horizontal="center" vertical="center" wrapText="1"/>
    </xf>
    <xf numFmtId="0" fontId="80" fillId="0" borderId="67" xfId="0" applyFont="1" applyBorder="1" applyAlignment="1">
      <alignment horizontal="center" vertical="center" wrapText="1"/>
    </xf>
    <xf numFmtId="0" fontId="80" fillId="0" borderId="68" xfId="0" applyFont="1" applyBorder="1" applyAlignment="1">
      <alignment horizontal="center" vertical="center" wrapText="1"/>
    </xf>
    <xf numFmtId="0" fontId="78" fillId="0" borderId="66" xfId="0" applyFont="1" applyBorder="1" applyAlignment="1">
      <alignment horizontal="center" vertical="center" wrapText="1"/>
    </xf>
    <xf numFmtId="0" fontId="78" fillId="0" borderId="69" xfId="0" applyFont="1" applyBorder="1" applyAlignment="1">
      <alignment horizontal="center" vertical="center" wrapText="1"/>
    </xf>
    <xf numFmtId="0" fontId="27"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81" fillId="0" borderId="71" xfId="0" applyFont="1" applyBorder="1" applyAlignment="1">
      <alignment horizontal="center" vertical="center" wrapText="1"/>
    </xf>
    <xf numFmtId="0" fontId="81" fillId="0" borderId="0" xfId="0" applyFont="1" applyBorder="1" applyAlignment="1">
      <alignment horizontal="center" vertical="center" wrapText="1"/>
    </xf>
    <xf numFmtId="0" fontId="81" fillId="0" borderId="68" xfId="0" applyFont="1" applyBorder="1" applyAlignment="1">
      <alignment horizontal="center" vertical="center" wrapText="1"/>
    </xf>
    <xf numFmtId="0" fontId="78" fillId="0" borderId="52" xfId="0" applyFont="1" applyBorder="1" applyAlignment="1">
      <alignment horizontal="center" vertical="center" wrapText="1"/>
    </xf>
    <xf numFmtId="0" fontId="78" fillId="0" borderId="53" xfId="0" applyFont="1" applyBorder="1" applyAlignment="1">
      <alignment horizontal="center" vertical="center" wrapText="1"/>
    </xf>
    <xf numFmtId="0" fontId="78" fillId="0" borderId="18" xfId="0" applyFont="1" applyBorder="1" applyAlignment="1">
      <alignment horizontal="center" vertical="center" wrapText="1"/>
    </xf>
    <xf numFmtId="0" fontId="78" fillId="0" borderId="75" xfId="0" applyFont="1" applyBorder="1" applyAlignment="1">
      <alignment horizontal="center" vertical="center" wrapText="1"/>
    </xf>
    <xf numFmtId="0" fontId="78" fillId="0" borderId="19" xfId="0" applyFont="1" applyBorder="1" applyAlignment="1">
      <alignment horizontal="center" vertical="center" wrapText="1"/>
    </xf>
    <xf numFmtId="0" fontId="78" fillId="0" borderId="76" xfId="0" applyFont="1" applyBorder="1" applyAlignment="1">
      <alignment horizontal="center" vertical="center" wrapText="1"/>
    </xf>
    <xf numFmtId="164" fontId="81" fillId="0" borderId="5" xfId="0" applyNumberFormat="1" applyFont="1" applyBorder="1" applyAlignment="1">
      <alignment horizontal="center" vertical="center" wrapText="1"/>
    </xf>
    <xf numFmtId="164" fontId="81" fillId="0" borderId="9" xfId="0" applyNumberFormat="1" applyFont="1" applyBorder="1" applyAlignment="1">
      <alignment horizontal="center" vertical="center" wrapText="1"/>
    </xf>
    <xf numFmtId="0" fontId="78" fillId="0" borderId="71" xfId="0" applyFont="1" applyBorder="1" applyAlignment="1">
      <alignment horizontal="center" vertical="center" wrapText="1"/>
    </xf>
    <xf numFmtId="0" fontId="78" fillId="0" borderId="0" xfId="0" applyFont="1" applyBorder="1" applyAlignment="1">
      <alignment horizontal="center" vertical="center" wrapText="1"/>
    </xf>
    <xf numFmtId="0" fontId="78" fillId="0" borderId="64" xfId="0" applyFont="1" applyBorder="1" applyAlignment="1">
      <alignment horizontal="center" vertical="center" wrapText="1"/>
    </xf>
    <xf numFmtId="0" fontId="0" fillId="0" borderId="1" xfId="0" applyFont="1" applyBorder="1" applyAlignment="1">
      <alignment horizontal="center" vertical="center" wrapText="1"/>
    </xf>
    <xf numFmtId="0" fontId="81" fillId="0" borderId="64" xfId="0" applyFont="1" applyBorder="1" applyAlignment="1">
      <alignment horizontal="center" vertical="center" wrapText="1"/>
    </xf>
    <xf numFmtId="0" fontId="81" fillId="0" borderId="79" xfId="0" applyFont="1" applyBorder="1" applyAlignment="1">
      <alignment horizontal="center" vertical="center" wrapText="1"/>
    </xf>
    <xf numFmtId="0" fontId="81" fillId="0" borderId="67" xfId="0" applyFont="1" applyBorder="1" applyAlignment="1">
      <alignment horizontal="center" vertical="center" wrapText="1"/>
    </xf>
    <xf numFmtId="0" fontId="78" fillId="0" borderId="80" xfId="0" applyFont="1" applyBorder="1" applyAlignment="1">
      <alignment horizontal="center" vertical="center" wrapText="1"/>
    </xf>
    <xf numFmtId="0" fontId="78" fillId="0" borderId="81" xfId="0" applyFont="1" applyBorder="1" applyAlignment="1">
      <alignment horizontal="center" vertical="center" wrapText="1"/>
    </xf>
    <xf numFmtId="0" fontId="78" fillId="0" borderId="82" xfId="0" applyFont="1" applyBorder="1" applyAlignment="1">
      <alignment horizontal="center" vertical="center" wrapText="1"/>
    </xf>
    <xf numFmtId="0" fontId="84" fillId="0" borderId="66" xfId="0" applyFont="1" applyBorder="1" applyAlignment="1">
      <alignment horizontal="center" vertical="center" wrapText="1"/>
    </xf>
    <xf numFmtId="0" fontId="84" fillId="0" borderId="70" xfId="0" applyFont="1" applyBorder="1" applyAlignment="1">
      <alignment horizontal="center" vertical="center" wrapText="1"/>
    </xf>
    <xf numFmtId="0" fontId="84" fillId="0" borderId="65" xfId="0" applyFont="1" applyBorder="1" applyAlignment="1">
      <alignment horizontal="center" vertical="center" wrapText="1"/>
    </xf>
    <xf numFmtId="0" fontId="0" fillId="0" borderId="4" xfId="0" applyFont="1" applyBorder="1" applyAlignment="1">
      <alignment horizontal="center" vertical="center" wrapText="1"/>
    </xf>
    <xf numFmtId="0" fontId="0" fillId="0" borderId="44" xfId="0" applyFont="1" applyBorder="1" applyAlignment="1">
      <alignment horizontal="center" vertical="center" wrapText="1"/>
    </xf>
    <xf numFmtId="0" fontId="0" fillId="0" borderId="14" xfId="0" applyFont="1" applyBorder="1" applyAlignment="1">
      <alignment horizontal="center" vertical="center" wrapText="1"/>
    </xf>
    <xf numFmtId="0" fontId="78" fillId="0" borderId="48" xfId="0" applyFont="1" applyBorder="1" applyAlignment="1">
      <alignment horizontal="center" vertical="center" wrapText="1"/>
    </xf>
    <xf numFmtId="0" fontId="78" fillId="0" borderId="50" xfId="0" applyFont="1" applyBorder="1" applyAlignment="1">
      <alignment horizontal="center" vertical="center" wrapText="1"/>
    </xf>
    <xf numFmtId="0" fontId="78" fillId="0" borderId="56" xfId="0" applyFont="1" applyBorder="1" applyAlignment="1">
      <alignment horizontal="center" vertical="center" wrapText="1"/>
    </xf>
    <xf numFmtId="0" fontId="78" fillId="0" borderId="79" xfId="0" applyFont="1" applyBorder="1" applyAlignment="1">
      <alignment horizontal="center" vertical="center" wrapText="1"/>
    </xf>
    <xf numFmtId="0" fontId="78" fillId="0" borderId="67" xfId="0" applyFont="1" applyBorder="1" applyAlignment="1">
      <alignment horizontal="center" vertical="center" wrapText="1"/>
    </xf>
    <xf numFmtId="0" fontId="78" fillId="0" borderId="68"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88" xfId="0" applyFont="1" applyBorder="1" applyAlignment="1">
      <alignment horizontal="center" vertical="center" wrapText="1"/>
    </xf>
    <xf numFmtId="0" fontId="0" fillId="0" borderId="3" xfId="0" applyFont="1" applyBorder="1" applyAlignment="1">
      <alignment horizontal="center" vertical="center" wrapText="1"/>
    </xf>
    <xf numFmtId="0" fontId="0" fillId="0" borderId="85" xfId="0" applyFont="1" applyBorder="1" applyAlignment="1">
      <alignment horizontal="center" vertical="center" wrapText="1"/>
    </xf>
    <xf numFmtId="0" fontId="0" fillId="0" borderId="86" xfId="0" applyFont="1" applyBorder="1" applyAlignment="1">
      <alignment horizontal="center" vertical="center" wrapText="1"/>
    </xf>
    <xf numFmtId="0" fontId="81" fillId="0" borderId="60" xfId="0" applyFont="1" applyBorder="1" applyAlignment="1">
      <alignment horizontal="center" vertical="center" wrapText="1"/>
    </xf>
    <xf numFmtId="0" fontId="81" fillId="0" borderId="58" xfId="0" applyFont="1" applyBorder="1" applyAlignment="1">
      <alignment horizontal="center" vertical="center" wrapText="1"/>
    </xf>
    <xf numFmtId="0" fontId="81" fillId="0" borderId="59" xfId="0" applyFont="1" applyBorder="1" applyAlignment="1">
      <alignment horizontal="center" vertical="center" wrapText="1"/>
    </xf>
    <xf numFmtId="0" fontId="0" fillId="0" borderId="50" xfId="0" applyFont="1" applyBorder="1" applyAlignment="1">
      <alignment horizontal="center" vertical="center"/>
    </xf>
    <xf numFmtId="0" fontId="86" fillId="0" borderId="48" xfId="0" applyFont="1" applyBorder="1" applyAlignment="1">
      <alignment horizontal="center" vertical="center" wrapText="1"/>
    </xf>
    <xf numFmtId="0" fontId="86" fillId="0" borderId="50" xfId="0" applyFont="1" applyBorder="1" applyAlignment="1">
      <alignment horizontal="center" vertical="center" wrapText="1"/>
    </xf>
    <xf numFmtId="0" fontId="86" fillId="0" borderId="56" xfId="0" applyFont="1" applyBorder="1" applyAlignment="1">
      <alignment horizontal="center" vertical="center" wrapText="1"/>
    </xf>
    <xf numFmtId="2" fontId="0" fillId="0" borderId="1" xfId="0" applyNumberFormat="1" applyFont="1" applyBorder="1" applyAlignment="1">
      <alignment horizontal="center" vertical="center" wrapText="1"/>
    </xf>
    <xf numFmtId="0" fontId="8" fillId="0" borderId="50" xfId="0" applyFont="1" applyBorder="1" applyAlignment="1">
      <alignment horizontal="center" vertical="center" wrapText="1"/>
    </xf>
    <xf numFmtId="0" fontId="8" fillId="0" borderId="56" xfId="0" applyFont="1" applyBorder="1" applyAlignment="1">
      <alignment horizontal="center" vertical="center" wrapText="1"/>
    </xf>
    <xf numFmtId="0" fontId="80" fillId="0" borderId="1" xfId="0" applyFont="1" applyBorder="1" applyAlignment="1">
      <alignment horizontal="center" vertical="center" wrapText="1"/>
    </xf>
    <xf numFmtId="0" fontId="78" fillId="0" borderId="90" xfId="0" applyFont="1" applyBorder="1" applyAlignment="1">
      <alignment horizontal="center" vertical="center" wrapText="1"/>
    </xf>
    <xf numFmtId="0" fontId="78" fillId="0" borderId="91" xfId="0" applyFont="1" applyBorder="1" applyAlignment="1">
      <alignment horizontal="center" vertical="center" wrapText="1"/>
    </xf>
    <xf numFmtId="0" fontId="81" fillId="0" borderId="80" xfId="0" applyFont="1" applyBorder="1" applyAlignment="1">
      <alignment horizontal="center" vertical="center" wrapText="1"/>
    </xf>
    <xf numFmtId="0" fontId="81" fillId="0" borderId="81" xfId="0" applyFont="1" applyBorder="1" applyAlignment="1">
      <alignment horizontal="center" vertical="center" wrapText="1"/>
    </xf>
    <xf numFmtId="0" fontId="81" fillId="0" borderId="82" xfId="0" applyFont="1" applyBorder="1" applyAlignment="1">
      <alignment horizontal="center" vertical="center" wrapText="1"/>
    </xf>
    <xf numFmtId="0" fontId="89" fillId="0" borderId="19" xfId="0" applyFont="1" applyBorder="1" applyAlignment="1">
      <alignment horizontal="center" vertical="center"/>
    </xf>
    <xf numFmtId="2" fontId="0" fillId="0" borderId="5" xfId="0" applyNumberFormat="1" applyFont="1" applyBorder="1" applyAlignment="1">
      <alignment horizontal="center" vertical="center" wrapText="1"/>
    </xf>
    <xf numFmtId="2" fontId="0" fillId="0" borderId="16" xfId="0" applyNumberFormat="1" applyFont="1" applyBorder="1" applyAlignment="1">
      <alignment horizontal="center" vertical="center" wrapText="1"/>
    </xf>
    <xf numFmtId="2" fontId="0" fillId="0" borderId="9" xfId="0" applyNumberFormat="1" applyFont="1" applyBorder="1" applyAlignment="1">
      <alignment horizontal="center" vertical="center" wrapText="1"/>
    </xf>
    <xf numFmtId="0" fontId="1" fillId="0" borderId="0" xfId="0" applyFont="1" applyAlignment="1">
      <alignment horizontal="center" vertical="center"/>
    </xf>
    <xf numFmtId="0" fontId="91" fillId="0" borderId="48" xfId="0" applyFont="1" applyBorder="1" applyAlignment="1">
      <alignment horizontal="center" vertical="top" wrapText="1"/>
    </xf>
    <xf numFmtId="0" fontId="91" fillId="0" borderId="50" xfId="0" applyFont="1" applyBorder="1" applyAlignment="1">
      <alignment horizontal="center" vertical="top" wrapText="1"/>
    </xf>
    <xf numFmtId="0" fontId="91" fillId="0" borderId="56" xfId="0" applyFont="1" applyBorder="1" applyAlignment="1">
      <alignment horizontal="center" vertical="top"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top" wrapText="1"/>
    </xf>
    <xf numFmtId="0" fontId="7" fillId="0" borderId="1" xfId="0" applyFont="1" applyBorder="1" applyAlignment="1">
      <alignment horizontal="center" vertical="center" wrapText="1"/>
    </xf>
    <xf numFmtId="0" fontId="3" fillId="0" borderId="0" xfId="0" applyFont="1" applyAlignment="1">
      <alignment horizontal="center" vertical="top" wrapText="1"/>
    </xf>
    <xf numFmtId="0" fontId="0" fillId="0" borderId="0" xfId="0" applyAlignment="1">
      <alignment horizontal="center" vertical="top" wrapText="1"/>
    </xf>
    <xf numFmtId="0" fontId="0" fillId="0" borderId="15" xfId="0" applyBorder="1" applyAlignment="1">
      <alignment horizontal="center" vertical="center" wrapText="1"/>
    </xf>
    <xf numFmtId="0" fontId="0" fillId="0" borderId="1" xfId="0" applyBorder="1" applyAlignment="1">
      <alignment horizontal="center" vertical="center" wrapText="1"/>
    </xf>
    <xf numFmtId="0" fontId="0" fillId="0" borderId="12" xfId="0" applyBorder="1" applyAlignment="1">
      <alignment horizontal="center" vertical="center" wrapText="1"/>
    </xf>
    <xf numFmtId="0" fontId="7" fillId="0" borderId="5" xfId="0" applyFont="1" applyBorder="1" applyAlignment="1">
      <alignment horizontal="center" vertical="center" wrapText="1"/>
    </xf>
    <xf numFmtId="0" fontId="7" fillId="0" borderId="9" xfId="0" applyFont="1" applyBorder="1" applyAlignment="1">
      <alignment horizontal="center" vertical="center" wrapText="1"/>
    </xf>
    <xf numFmtId="0" fontId="0" fillId="0" borderId="11" xfId="0" applyBorder="1" applyAlignment="1">
      <alignment horizontal="center" vertical="center" wrapText="1"/>
    </xf>
    <xf numFmtId="0" fontId="0" fillId="0" borderId="4" xfId="0" applyBorder="1" applyAlignment="1">
      <alignment horizontal="center" vertical="center" wrapText="1"/>
    </xf>
    <xf numFmtId="0" fontId="0" fillId="0" borderId="13" xfId="0" applyBorder="1" applyAlignment="1">
      <alignment horizontal="center" vertical="center" wrapText="1"/>
    </xf>
    <xf numFmtId="0" fontId="0" fillId="0" borderId="10" xfId="0" applyBorder="1" applyAlignment="1">
      <alignment horizontal="center" vertical="center" wrapText="1"/>
    </xf>
    <xf numFmtId="0" fontId="0" fillId="0" borderId="14" xfId="0" applyBorder="1" applyAlignment="1">
      <alignment horizontal="center" vertical="center" wrapText="1"/>
    </xf>
    <xf numFmtId="0" fontId="0" fillId="0" borderId="5" xfId="0" applyBorder="1" applyAlignment="1">
      <alignment horizontal="center" vertical="top" wrapText="1"/>
    </xf>
    <xf numFmtId="0" fontId="0" fillId="0" borderId="9" xfId="0" applyBorder="1" applyAlignment="1">
      <alignment horizontal="center" vertical="top"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5" fillId="0" borderId="0" xfId="0" applyFont="1" applyAlignment="1">
      <alignment horizontal="left" vertical="center" wrapText="1"/>
    </xf>
    <xf numFmtId="0" fontId="0" fillId="0" borderId="0" xfId="0" applyBorder="1" applyAlignment="1">
      <alignment horizontal="center" vertical="center" wrapText="1"/>
    </xf>
    <xf numFmtId="0" fontId="10" fillId="0" borderId="0" xfId="0" applyFont="1" applyAlignment="1">
      <alignment horizontal="left" vertical="top" wrapText="1"/>
    </xf>
    <xf numFmtId="0" fontId="0" fillId="3" borderId="9" xfId="0" applyFill="1" applyBorder="1" applyAlignment="1">
      <alignment horizontal="center" vertical="center" wrapText="1"/>
    </xf>
    <xf numFmtId="0" fontId="0" fillId="3" borderId="1" xfId="0" applyFill="1" applyBorder="1" applyAlignment="1">
      <alignment horizontal="center" vertical="center" wrapText="1"/>
    </xf>
    <xf numFmtId="0" fontId="0" fillId="0" borderId="16" xfId="0" applyBorder="1" applyAlignment="1">
      <alignment horizontal="center" vertical="center" wrapText="1"/>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4"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14" xfId="0" applyFill="1" applyBorder="1" applyAlignment="1">
      <alignment horizontal="center" vertical="center" wrapText="1"/>
    </xf>
    <xf numFmtId="0" fontId="1" fillId="3" borderId="6"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8" xfId="0" applyFont="1" applyFill="1" applyBorder="1" applyAlignment="1">
      <alignment horizontal="left" vertical="center" wrapText="1"/>
    </xf>
    <xf numFmtId="0" fontId="0" fillId="0" borderId="0" xfId="0" applyBorder="1" applyAlignment="1">
      <alignment horizontal="center" vertical="top" wrapText="1"/>
    </xf>
    <xf numFmtId="0" fontId="0" fillId="0" borderId="1" xfId="0" applyBorder="1" applyAlignment="1">
      <alignment horizontal="center" vertical="top"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0" fillId="0" borderId="0" xfId="0" applyAlignment="1">
      <alignment horizontal="left"/>
    </xf>
    <xf numFmtId="0" fontId="0" fillId="0" borderId="0" xfId="0" applyFont="1" applyAlignment="1">
      <alignment horizontal="left"/>
    </xf>
    <xf numFmtId="0" fontId="13" fillId="0" borderId="10" xfId="0" applyFont="1" applyBorder="1" applyAlignment="1">
      <alignment horizontal="center"/>
    </xf>
    <xf numFmtId="0" fontId="17" fillId="0" borderId="10" xfId="0" applyFont="1" applyBorder="1" applyAlignment="1">
      <alignment horizontal="center"/>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 xfId="0" applyFont="1" applyBorder="1" applyAlignment="1">
      <alignment horizontal="center" vertical="center" wrapText="1"/>
    </xf>
    <xf numFmtId="0" fontId="16" fillId="3" borderId="1" xfId="0" applyFont="1" applyFill="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4" xfId="0" applyFont="1" applyBorder="1" applyAlignment="1">
      <alignment horizontal="center" vertical="center" wrapText="1"/>
    </xf>
    <xf numFmtId="0" fontId="16" fillId="0" borderId="0" xfId="0" applyFont="1" applyBorder="1" applyAlignment="1">
      <alignment horizontal="center" vertical="center" wrapText="1"/>
    </xf>
    <xf numFmtId="0" fontId="19" fillId="0" borderId="0" xfId="0" applyFont="1" applyBorder="1" applyAlignment="1">
      <alignment horizontal="center" vertical="center" wrapText="1"/>
    </xf>
    <xf numFmtId="0" fontId="22" fillId="0" borderId="0" xfId="0" applyFont="1" applyBorder="1" applyAlignment="1">
      <alignment horizontal="center" wrapText="1"/>
    </xf>
    <xf numFmtId="0" fontId="24" fillId="0" borderId="0" xfId="0" applyFont="1" applyBorder="1" applyAlignment="1">
      <alignment horizontal="center" wrapText="1"/>
    </xf>
    <xf numFmtId="0" fontId="8" fillId="0" borderId="0" xfId="0" applyFont="1" applyBorder="1" applyAlignment="1">
      <alignment horizontal="center" vertical="center" wrapText="1"/>
    </xf>
    <xf numFmtId="2" fontId="0" fillId="0" borderId="0" xfId="0" applyNumberFormat="1" applyBorder="1" applyAlignment="1">
      <alignment horizontal="center" vertical="center" wrapText="1"/>
    </xf>
    <xf numFmtId="0" fontId="21" fillId="0" borderId="10" xfId="0" applyFont="1" applyBorder="1" applyAlignment="1">
      <alignment horizontal="center" vertical="top"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 xfId="0" applyFont="1" applyBorder="1" applyAlignment="1">
      <alignment horizontal="center" vertical="center" wrapText="1"/>
    </xf>
    <xf numFmtId="0" fontId="30" fillId="6" borderId="32" xfId="0" applyFont="1" applyFill="1" applyBorder="1" applyAlignment="1">
      <alignment horizontal="center" vertical="center" wrapText="1"/>
    </xf>
    <xf numFmtId="0" fontId="30" fillId="6" borderId="28" xfId="0" applyFont="1" applyFill="1" applyBorder="1" applyAlignment="1">
      <alignment horizontal="center" vertical="center" wrapText="1"/>
    </xf>
    <xf numFmtId="0" fontId="30" fillId="5" borderId="31" xfId="0" applyFont="1" applyFill="1" applyBorder="1" applyAlignment="1">
      <alignment horizontal="left" vertical="center" wrapText="1"/>
    </xf>
    <xf numFmtId="0" fontId="30" fillId="5" borderId="29" xfId="0" applyFont="1" applyFill="1" applyBorder="1" applyAlignment="1">
      <alignment horizontal="left" vertical="center" wrapText="1"/>
    </xf>
    <xf numFmtId="0" fontId="0" fillId="0" borderId="19" xfId="0" applyBorder="1" applyAlignment="1">
      <alignment horizontal="center" vertical="center"/>
    </xf>
    <xf numFmtId="0" fontId="26" fillId="4" borderId="20" xfId="0" applyFont="1" applyFill="1" applyBorder="1" applyAlignment="1">
      <alignment horizontal="center" vertical="center" wrapText="1"/>
    </xf>
    <xf numFmtId="0" fontId="26" fillId="4" borderId="17" xfId="0" applyFont="1" applyFill="1" applyBorder="1" applyAlignment="1">
      <alignment horizontal="center" vertical="center" wrapText="1"/>
    </xf>
    <xf numFmtId="0" fontId="26" fillId="4" borderId="21" xfId="0" applyFont="1" applyFill="1" applyBorder="1" applyAlignment="1">
      <alignment horizontal="center" vertical="center" wrapText="1"/>
    </xf>
    <xf numFmtId="0" fontId="26" fillId="4" borderId="22" xfId="0" applyFont="1" applyFill="1" applyBorder="1" applyAlignment="1">
      <alignment horizontal="center" vertical="center" wrapText="1"/>
    </xf>
    <xf numFmtId="0" fontId="26" fillId="4" borderId="23" xfId="0" applyFont="1" applyFill="1" applyBorder="1" applyAlignment="1">
      <alignment horizontal="center" vertical="center" wrapText="1"/>
    </xf>
    <xf numFmtId="0" fontId="28" fillId="4" borderId="24"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0" fillId="0" borderId="0" xfId="0" applyAlignment="1">
      <alignment horizontal="center" vertical="center"/>
    </xf>
    <xf numFmtId="0" fontId="30" fillId="7" borderId="31" xfId="0" applyFont="1" applyFill="1" applyBorder="1" applyAlignment="1">
      <alignment horizontal="left" vertical="center" wrapText="1"/>
    </xf>
    <xf numFmtId="0" fontId="30" fillId="7" borderId="29" xfId="0" applyFont="1" applyFill="1" applyBorder="1" applyAlignment="1">
      <alignment horizontal="left" vertical="center" wrapText="1"/>
    </xf>
    <xf numFmtId="0" fontId="30" fillId="6" borderId="33" xfId="0" applyFont="1" applyFill="1" applyBorder="1" applyAlignment="1">
      <alignment horizontal="center" vertical="center" wrapText="1"/>
    </xf>
    <xf numFmtId="0" fontId="30" fillId="5" borderId="1" xfId="0" applyFont="1" applyFill="1" applyBorder="1" applyAlignment="1">
      <alignment horizontal="center" vertical="center" wrapText="1"/>
    </xf>
    <xf numFmtId="0" fontId="30" fillId="6" borderId="35" xfId="0" applyFont="1" applyFill="1" applyBorder="1" applyAlignment="1">
      <alignment horizontal="center" vertical="center" wrapText="1"/>
    </xf>
    <xf numFmtId="0" fontId="30" fillId="6" borderId="36" xfId="0" applyFont="1" applyFill="1" applyBorder="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xf>
    <xf numFmtId="0" fontId="0" fillId="0" borderId="10" xfId="0" applyFont="1" applyBorder="1" applyAlignment="1">
      <alignment horizontal="center" vertical="center" wrapText="1"/>
    </xf>
    <xf numFmtId="0" fontId="1" fillId="0" borderId="10" xfId="0" applyFont="1" applyBorder="1" applyAlignment="1">
      <alignment horizontal="left" vertical="center"/>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13" xfId="0" applyBorder="1" applyAlignment="1">
      <alignment horizontal="left" vertical="center" wrapText="1"/>
    </xf>
    <xf numFmtId="0" fontId="0" fillId="0" borderId="10" xfId="0" applyBorder="1" applyAlignment="1">
      <alignment horizontal="left" vertical="center" wrapText="1"/>
    </xf>
    <xf numFmtId="0" fontId="0" fillId="0" borderId="14" xfId="0" applyBorder="1" applyAlignment="1">
      <alignment horizontal="left" vertical="center" wrapText="1"/>
    </xf>
    <xf numFmtId="0" fontId="1" fillId="0" borderId="10" xfId="0" applyFont="1" applyBorder="1" applyAlignment="1">
      <alignment horizontal="center" vertical="center"/>
    </xf>
    <xf numFmtId="0" fontId="39" fillId="0" borderId="39" xfId="0" applyFont="1" applyBorder="1" applyAlignment="1">
      <alignment horizontal="center"/>
    </xf>
    <xf numFmtId="0" fontId="39" fillId="0" borderId="40" xfId="0" applyFont="1" applyBorder="1" applyAlignment="1">
      <alignment horizontal="center"/>
    </xf>
    <xf numFmtId="0" fontId="39" fillId="0" borderId="41" xfId="0" applyFont="1" applyBorder="1" applyAlignment="1">
      <alignment horizontal="center"/>
    </xf>
    <xf numFmtId="0" fontId="39" fillId="0" borderId="24" xfId="0" applyFont="1" applyBorder="1" applyAlignment="1">
      <alignment horizontal="center" vertical="center"/>
    </xf>
    <xf numFmtId="0" fontId="39" fillId="0" borderId="1" xfId="0" applyFont="1" applyBorder="1" applyAlignment="1">
      <alignment horizontal="center" vertical="center"/>
    </xf>
    <xf numFmtId="0" fontId="39" fillId="0" borderId="6" xfId="0" applyFont="1" applyBorder="1" applyAlignment="1">
      <alignment horizontal="center" vertical="center" wrapText="1"/>
    </xf>
    <xf numFmtId="164" fontId="7"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39" fillId="0" borderId="42" xfId="0" applyFont="1" applyBorder="1" applyAlignment="1">
      <alignment horizontal="center" vertical="center"/>
    </xf>
    <xf numFmtId="0" fontId="39" fillId="0" borderId="43" xfId="0" applyFont="1" applyBorder="1" applyAlignment="1">
      <alignment horizontal="center" vertical="center"/>
    </xf>
    <xf numFmtId="0" fontId="39" fillId="0" borderId="25" xfId="0" applyFont="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164" fontId="0" fillId="0" borderId="5" xfId="0" applyNumberFormat="1" applyBorder="1" applyAlignment="1">
      <alignment horizontal="center" vertical="center"/>
    </xf>
    <xf numFmtId="164" fontId="0" fillId="0" borderId="16" xfId="0" applyNumberFormat="1" applyBorder="1" applyAlignment="1">
      <alignment horizontal="center" vertical="center"/>
    </xf>
    <xf numFmtId="164" fontId="0" fillId="0" borderId="9" xfId="0" applyNumberFormat="1" applyBorder="1" applyAlignment="1">
      <alignment horizontal="center" vertical="center"/>
    </xf>
    <xf numFmtId="49" fontId="5" fillId="0" borderId="5" xfId="0" applyNumberFormat="1" applyFont="1" applyBorder="1" applyAlignment="1">
      <alignment horizontal="center" vertical="center" wrapText="1"/>
    </xf>
    <xf numFmtId="49" fontId="5" fillId="0" borderId="16" xfId="0" applyNumberFormat="1" applyFont="1" applyBorder="1" applyAlignment="1">
      <alignment horizontal="center" vertical="center" wrapText="1"/>
    </xf>
    <xf numFmtId="49" fontId="5" fillId="0" borderId="9" xfId="0" applyNumberFormat="1" applyFont="1" applyBorder="1" applyAlignment="1">
      <alignment horizontal="center" vertical="center" wrapText="1"/>
    </xf>
    <xf numFmtId="0" fontId="16" fillId="0" borderId="6" xfId="0" applyFont="1" applyBorder="1" applyAlignment="1">
      <alignment horizontal="left" vertical="top" wrapText="1"/>
    </xf>
    <xf numFmtId="0" fontId="16" fillId="0" borderId="8" xfId="0" applyFont="1" applyBorder="1" applyAlignment="1">
      <alignment horizontal="left" vertical="top" wrapText="1"/>
    </xf>
    <xf numFmtId="0" fontId="21" fillId="9" borderId="5" xfId="0" applyFont="1" applyFill="1" applyBorder="1" applyAlignment="1">
      <alignment horizontal="center" vertical="center" wrapText="1"/>
    </xf>
    <xf numFmtId="0" fontId="21" fillId="9" borderId="9" xfId="0" applyFont="1" applyFill="1" applyBorder="1" applyAlignment="1">
      <alignment horizontal="center" vertical="center" wrapText="1"/>
    </xf>
    <xf numFmtId="49" fontId="39" fillId="0" borderId="1" xfId="0" applyNumberFormat="1" applyFont="1" applyBorder="1" applyAlignment="1">
      <alignment horizontal="center"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41" fillId="3" borderId="6" xfId="0" applyFont="1" applyFill="1" applyBorder="1" applyAlignment="1">
      <alignment horizontal="left" vertical="center" wrapText="1"/>
    </xf>
    <xf numFmtId="0" fontId="41" fillId="3" borderId="7" xfId="0" applyFont="1" applyFill="1" applyBorder="1" applyAlignment="1">
      <alignment horizontal="left" vertical="center" wrapText="1"/>
    </xf>
    <xf numFmtId="0" fontId="39" fillId="9" borderId="11" xfId="0" applyFont="1" applyFill="1" applyBorder="1" applyAlignment="1">
      <alignment horizontal="center" vertical="center"/>
    </xf>
    <xf numFmtId="0" fontId="39" fillId="9" borderId="15" xfId="0" applyFont="1" applyFill="1" applyBorder="1" applyAlignment="1">
      <alignment horizontal="center" vertical="center"/>
    </xf>
    <xf numFmtId="0" fontId="39" fillId="9" borderId="13" xfId="0" applyFont="1" applyFill="1" applyBorder="1" applyAlignment="1">
      <alignment horizontal="center" vertical="center"/>
    </xf>
    <xf numFmtId="0" fontId="11" fillId="0" borderId="6" xfId="0" applyFont="1" applyBorder="1" applyAlignment="1">
      <alignment horizontal="left" vertical="top" wrapText="1"/>
    </xf>
    <xf numFmtId="0" fontId="11" fillId="0" borderId="8" xfId="0" applyFont="1" applyBorder="1" applyAlignment="1">
      <alignment horizontal="left" vertical="top" wrapText="1"/>
    </xf>
    <xf numFmtId="0" fontId="16" fillId="0" borderId="7" xfId="0" applyFont="1" applyBorder="1" applyAlignment="1">
      <alignment horizontal="left" vertical="top" wrapText="1"/>
    </xf>
    <xf numFmtId="0" fontId="21" fillId="0" borderId="6" xfId="0" applyFont="1" applyBorder="1" applyAlignment="1">
      <alignment horizontal="left" vertical="top" wrapText="1"/>
    </xf>
    <xf numFmtId="0" fontId="21" fillId="0" borderId="8" xfId="0" applyFont="1" applyBorder="1" applyAlignment="1">
      <alignment horizontal="left" vertical="top"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44" fillId="3" borderId="6" xfId="0" applyFont="1" applyFill="1" applyBorder="1" applyAlignment="1">
      <alignment horizontal="left" vertical="center" wrapText="1"/>
    </xf>
    <xf numFmtId="0" fontId="44" fillId="3" borderId="7" xfId="0" applyFont="1" applyFill="1" applyBorder="1" applyAlignment="1">
      <alignment horizontal="left" vertical="center" wrapText="1"/>
    </xf>
    <xf numFmtId="0" fontId="44" fillId="3" borderId="8" xfId="0" applyFont="1" applyFill="1" applyBorder="1" applyAlignment="1">
      <alignment horizontal="left" vertical="center" wrapText="1"/>
    </xf>
    <xf numFmtId="0" fontId="21" fillId="0" borderId="7" xfId="0" applyFont="1" applyBorder="1" applyAlignment="1">
      <alignment horizontal="left" vertical="top" wrapText="1"/>
    </xf>
    <xf numFmtId="49" fontId="39" fillId="0" borderId="42" xfId="0" applyNumberFormat="1" applyFont="1" applyBorder="1" applyAlignment="1">
      <alignment horizontal="center" vertical="center"/>
    </xf>
    <xf numFmtId="49" fontId="39" fillId="0" borderId="25" xfId="0" applyNumberFormat="1" applyFont="1" applyBorder="1" applyAlignment="1">
      <alignment horizontal="center" vertical="center"/>
    </xf>
    <xf numFmtId="0" fontId="41" fillId="0" borderId="6" xfId="0" applyFont="1" applyBorder="1" applyAlignment="1">
      <alignment horizontal="left" vertical="top" wrapText="1"/>
    </xf>
    <xf numFmtId="0" fontId="41" fillId="0" borderId="7" xfId="0" applyFont="1" applyBorder="1" applyAlignment="1">
      <alignment horizontal="left" vertical="top" wrapText="1"/>
    </xf>
    <xf numFmtId="0" fontId="41" fillId="0" borderId="8" xfId="0" applyFont="1" applyBorder="1" applyAlignment="1">
      <alignment horizontal="left" vertical="top" wrapText="1"/>
    </xf>
    <xf numFmtId="49" fontId="40" fillId="0" borderId="6" xfId="0" applyNumberFormat="1" applyFont="1" applyBorder="1" applyAlignment="1">
      <alignment horizontal="left" vertical="center" wrapText="1"/>
    </xf>
    <xf numFmtId="49" fontId="5" fillId="0" borderId="7" xfId="0" applyNumberFormat="1" applyFont="1" applyBorder="1" applyAlignment="1">
      <alignment horizontal="left" vertical="center" wrapText="1"/>
    </xf>
    <xf numFmtId="49" fontId="5" fillId="0" borderId="8" xfId="0" applyNumberFormat="1" applyFont="1" applyBorder="1" applyAlignment="1">
      <alignment horizontal="left" vertical="center" wrapText="1"/>
    </xf>
    <xf numFmtId="49" fontId="39" fillId="0" borderId="5" xfId="0" applyNumberFormat="1" applyFont="1" applyBorder="1" applyAlignment="1">
      <alignment horizontal="center" vertical="center" wrapText="1"/>
    </xf>
    <xf numFmtId="49" fontId="39" fillId="0" borderId="16" xfId="0" applyNumberFormat="1" applyFont="1" applyBorder="1" applyAlignment="1">
      <alignment horizontal="center" vertical="center" wrapText="1"/>
    </xf>
    <xf numFmtId="49" fontId="39" fillId="0" borderId="9" xfId="0" applyNumberFormat="1" applyFont="1" applyBorder="1" applyAlignment="1">
      <alignment horizontal="center" vertical="center" wrapText="1"/>
    </xf>
    <xf numFmtId="49" fontId="5" fillId="0" borderId="6" xfId="0" applyNumberFormat="1" applyFont="1" applyBorder="1" applyAlignment="1">
      <alignment horizontal="left" vertical="center" wrapText="1"/>
    </xf>
    <xf numFmtId="1" fontId="47" fillId="9" borderId="11" xfId="0" applyNumberFormat="1" applyFont="1" applyFill="1" applyBorder="1" applyAlignment="1">
      <alignment horizontal="center" vertical="center"/>
    </xf>
    <xf numFmtId="1" fontId="47" fillId="9" borderId="13" xfId="0" applyNumberFormat="1" applyFont="1" applyFill="1" applyBorder="1" applyAlignment="1">
      <alignment horizontal="center" vertical="center"/>
    </xf>
    <xf numFmtId="164" fontId="0" fillId="3" borderId="5" xfId="0" applyNumberFormat="1" applyFill="1" applyBorder="1" applyAlignment="1">
      <alignment horizontal="center" vertical="center"/>
    </xf>
    <xf numFmtId="164" fontId="0" fillId="3" borderId="9" xfId="0" applyNumberFormat="1" applyFill="1" applyBorder="1" applyAlignment="1">
      <alignment horizontal="center" vertical="center"/>
    </xf>
    <xf numFmtId="0" fontId="21" fillId="0" borderId="6" xfId="0" applyFont="1" applyBorder="1" applyAlignment="1">
      <alignment horizontal="center" vertical="top" wrapText="1"/>
    </xf>
    <xf numFmtId="0" fontId="21" fillId="0" borderId="7" xfId="0" applyFont="1" applyBorder="1" applyAlignment="1">
      <alignment horizontal="center" vertical="top" wrapText="1"/>
    </xf>
    <xf numFmtId="0" fontId="21" fillId="0" borderId="8" xfId="0" applyFont="1" applyBorder="1" applyAlignment="1">
      <alignment horizontal="center" vertical="top" wrapText="1"/>
    </xf>
    <xf numFmtId="164" fontId="0" fillId="0" borderId="1" xfId="0" applyNumberFormat="1" applyBorder="1" applyAlignment="1">
      <alignment horizontal="center" vertical="center"/>
    </xf>
    <xf numFmtId="49" fontId="51" fillId="0" borderId="6" xfId="0" applyNumberFormat="1" applyFont="1" applyBorder="1" applyAlignment="1">
      <alignment horizontal="left" vertical="center"/>
    </xf>
    <xf numFmtId="49" fontId="51" fillId="0" borderId="7" xfId="0" applyNumberFormat="1" applyFont="1" applyBorder="1" applyAlignment="1">
      <alignment horizontal="left" vertical="center"/>
    </xf>
    <xf numFmtId="49" fontId="51" fillId="0" borderId="8" xfId="0" applyNumberFormat="1" applyFont="1" applyBorder="1" applyAlignment="1">
      <alignment horizontal="left" vertical="center"/>
    </xf>
    <xf numFmtId="0" fontId="21" fillId="0" borderId="42" xfId="0" applyFont="1" applyFill="1" applyBorder="1" applyAlignment="1">
      <alignment horizontal="center" vertical="center"/>
    </xf>
    <xf numFmtId="0" fontId="21" fillId="0" borderId="43" xfId="0" applyFont="1" applyFill="1" applyBorder="1" applyAlignment="1">
      <alignment horizontal="center"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46" fillId="9" borderId="11" xfId="0" applyFont="1" applyFill="1" applyBorder="1" applyAlignment="1">
      <alignment horizontal="center" vertical="center"/>
    </xf>
    <xf numFmtId="0" fontId="46" fillId="9" borderId="15" xfId="0" applyFont="1" applyFill="1" applyBorder="1" applyAlignment="1">
      <alignment horizontal="center" vertical="center"/>
    </xf>
    <xf numFmtId="0" fontId="16" fillId="0" borderId="45" xfId="0" applyFont="1" applyBorder="1" applyAlignment="1">
      <alignment horizontal="left" vertical="top" wrapText="1"/>
    </xf>
    <xf numFmtId="0" fontId="16" fillId="0" borderId="46" xfId="0" applyFont="1" applyBorder="1" applyAlignment="1">
      <alignment horizontal="left" vertical="top" wrapText="1"/>
    </xf>
    <xf numFmtId="0" fontId="16" fillId="0" borderId="47" xfId="0" applyFont="1" applyBorder="1" applyAlignment="1">
      <alignment horizontal="left" vertical="top" wrapText="1"/>
    </xf>
    <xf numFmtId="0" fontId="48" fillId="0" borderId="6" xfId="0" applyFont="1" applyBorder="1" applyAlignment="1">
      <alignment horizontal="left" vertical="center" wrapText="1"/>
    </xf>
    <xf numFmtId="0" fontId="48" fillId="0" borderId="7" xfId="0" applyFont="1" applyBorder="1" applyAlignment="1">
      <alignment horizontal="left" vertical="center" wrapText="1"/>
    </xf>
    <xf numFmtId="0" fontId="48" fillId="0" borderId="8" xfId="0" applyFont="1" applyBorder="1" applyAlignment="1">
      <alignment horizontal="left" vertical="center" wrapText="1"/>
    </xf>
    <xf numFmtId="0" fontId="16" fillId="0" borderId="1" xfId="0" applyFont="1" applyBorder="1" applyAlignment="1">
      <alignment horizontal="left" vertical="top" wrapText="1"/>
    </xf>
    <xf numFmtId="0" fontId="45" fillId="0" borderId="0" xfId="0" applyFont="1" applyBorder="1" applyAlignment="1">
      <alignment horizontal="left" vertical="center" wrapText="1"/>
    </xf>
    <xf numFmtId="0" fontId="45" fillId="0" borderId="0" xfId="0" applyFont="1" applyBorder="1" applyAlignment="1">
      <alignment horizontal="left" vertical="center"/>
    </xf>
    <xf numFmtId="0" fontId="39" fillId="0" borderId="0" xfId="0" applyFont="1" applyBorder="1" applyAlignment="1">
      <alignment horizontal="center" vertical="center" wrapText="1"/>
    </xf>
    <xf numFmtId="0" fontId="39" fillId="0" borderId="55" xfId="0" applyFont="1" applyBorder="1" applyAlignment="1">
      <alignment horizontal="center" vertical="center" wrapText="1"/>
    </xf>
    <xf numFmtId="49" fontId="39" fillId="3" borderId="49" xfId="0" applyNumberFormat="1" applyFont="1" applyFill="1" applyBorder="1" applyAlignment="1">
      <alignment horizontal="left" vertical="center" wrapText="1"/>
    </xf>
    <xf numFmtId="49" fontId="39" fillId="3" borderId="50" xfId="0" applyNumberFormat="1" applyFont="1" applyFill="1" applyBorder="1" applyAlignment="1">
      <alignment horizontal="left" vertical="center" wrapText="1"/>
    </xf>
    <xf numFmtId="49" fontId="39" fillId="3" borderId="48" xfId="0" applyNumberFormat="1" applyFont="1" applyFill="1" applyBorder="1" applyAlignment="1">
      <alignment horizontal="left" vertical="center" wrapText="1"/>
    </xf>
    <xf numFmtId="0" fontId="39" fillId="0" borderId="19" xfId="0" applyFont="1" applyBorder="1" applyAlignment="1">
      <alignment horizontal="center" vertical="center"/>
    </xf>
    <xf numFmtId="0" fontId="46" fillId="0" borderId="53" xfId="0" applyFont="1" applyBorder="1" applyAlignment="1">
      <alignment horizontal="center" vertical="center" wrapText="1"/>
    </xf>
    <xf numFmtId="0" fontId="46" fillId="0" borderId="18" xfId="0" applyFont="1" applyBorder="1" applyAlignment="1">
      <alignment horizontal="center" vertical="center" wrapText="1"/>
    </xf>
    <xf numFmtId="0" fontId="46" fillId="0" borderId="48" xfId="0" applyFont="1" applyBorder="1" applyAlignment="1">
      <alignment horizontal="center" vertical="center" wrapText="1"/>
    </xf>
    <xf numFmtId="0" fontId="46" fillId="0" borderId="50" xfId="0" applyFont="1" applyBorder="1" applyAlignment="1">
      <alignment horizontal="center" vertical="center" wrapText="1"/>
    </xf>
    <xf numFmtId="0" fontId="46" fillId="0" borderId="56" xfId="0" applyFont="1" applyBorder="1" applyAlignment="1">
      <alignment horizontal="center" vertical="center" wrapText="1"/>
    </xf>
    <xf numFmtId="0" fontId="16" fillId="0" borderId="20" xfId="0" applyFont="1" applyBorder="1" applyAlignment="1">
      <alignment horizontal="left" vertical="top" wrapText="1"/>
    </xf>
    <xf numFmtId="0" fontId="16" fillId="0" borderId="17" xfId="0" applyFont="1" applyBorder="1" applyAlignment="1">
      <alignment horizontal="left" vertical="top" wrapText="1"/>
    </xf>
    <xf numFmtId="0" fontId="11" fillId="0" borderId="48"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10" xfId="0" applyFont="1" applyBorder="1" applyAlignment="1">
      <alignment horizontal="center" vertical="center" wrapText="1"/>
    </xf>
    <xf numFmtId="49" fontId="11" fillId="0" borderId="1" xfId="0" applyNumberFormat="1" applyFont="1" applyBorder="1" applyAlignment="1">
      <alignment horizontal="center" vertical="center" wrapText="1"/>
    </xf>
    <xf numFmtId="0" fontId="11" fillId="0" borderId="14" xfId="0" applyFont="1" applyBorder="1" applyAlignment="1">
      <alignment horizontal="center" vertical="center" wrapText="1"/>
    </xf>
    <xf numFmtId="0" fontId="39" fillId="0" borderId="0" xfId="0" applyFont="1" applyBorder="1" applyAlignment="1">
      <alignment horizontal="center" vertical="center"/>
    </xf>
    <xf numFmtId="0" fontId="5" fillId="0" borderId="0" xfId="0" applyFont="1" applyBorder="1" applyAlignment="1">
      <alignment horizontal="center" vertical="center" wrapText="1"/>
    </xf>
    <xf numFmtId="0" fontId="5" fillId="0" borderId="48" xfId="0" applyFont="1" applyBorder="1" applyAlignment="1">
      <alignment horizontal="center" vertical="center"/>
    </xf>
    <xf numFmtId="0" fontId="5" fillId="0" borderId="50" xfId="0" applyFont="1" applyBorder="1" applyAlignment="1">
      <alignment horizontal="center" vertical="center"/>
    </xf>
    <xf numFmtId="0" fontId="5" fillId="0" borderId="56" xfId="0" applyFont="1" applyBorder="1" applyAlignment="1">
      <alignment horizontal="center" vertical="center"/>
    </xf>
    <xf numFmtId="0" fontId="11" fillId="0" borderId="52" xfId="0" applyFont="1" applyBorder="1" applyAlignment="1">
      <alignment horizontal="left" vertical="center" wrapText="1"/>
    </xf>
    <xf numFmtId="0" fontId="11" fillId="0" borderId="53" xfId="0" applyFont="1" applyBorder="1" applyAlignment="1">
      <alignment horizontal="left" vertical="center" wrapText="1"/>
    </xf>
    <xf numFmtId="0" fontId="11" fillId="0" borderId="18" xfId="0" applyFont="1" applyBorder="1" applyAlignment="1">
      <alignment horizontal="left" vertical="center" wrapText="1"/>
    </xf>
    <xf numFmtId="0" fontId="11" fillId="0" borderId="52" xfId="0" applyFont="1" applyBorder="1" applyAlignment="1">
      <alignment horizontal="left" vertical="top" wrapText="1"/>
    </xf>
    <xf numFmtId="0" fontId="11" fillId="0" borderId="53" xfId="0" applyFont="1" applyBorder="1" applyAlignment="1">
      <alignment horizontal="left" vertical="top"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21" fillId="0" borderId="0" xfId="0" applyFont="1" applyBorder="1" applyAlignment="1">
      <alignment horizontal="center" vertical="center" wrapText="1"/>
    </xf>
    <xf numFmtId="0" fontId="21" fillId="0" borderId="0" xfId="0" applyFont="1" applyBorder="1" applyAlignment="1">
      <alignment horizontal="center"/>
    </xf>
    <xf numFmtId="14" fontId="11" fillId="0" borderId="1" xfId="0" applyNumberFormat="1" applyFont="1" applyBorder="1" applyAlignment="1">
      <alignment horizontal="center" vertical="center" wrapText="1"/>
    </xf>
    <xf numFmtId="0" fontId="56"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A-5CC6-11CF-8D67-00AA00BDCE1D}" ax:persistence="persistStream" r:id="rId1"/>
</file>

<file path=xl/activeX/activeX10.xml><?xml version="1.0" encoding="utf-8"?>
<ax:ocx xmlns:ax="http://schemas.microsoft.com/office/2006/activeX" xmlns:r="http://schemas.openxmlformats.org/officeDocument/2006/relationships" ax:classid="{5512D11A-5CC6-11CF-8D67-00AA00BDCE1D}" ax:persistence="persistStream" r:id="rId1"/>
</file>

<file path=xl/activeX/activeX11.xml><?xml version="1.0" encoding="utf-8"?>
<ax:ocx xmlns:ax="http://schemas.microsoft.com/office/2006/activeX" xmlns:r="http://schemas.openxmlformats.org/officeDocument/2006/relationships" ax:classid="{5512D11A-5CC6-11CF-8D67-00AA00BDCE1D}" ax:persistence="persistStream" r:id="rId1"/>
</file>

<file path=xl/activeX/activeX12.xml><?xml version="1.0" encoding="utf-8"?>
<ax:ocx xmlns:ax="http://schemas.microsoft.com/office/2006/activeX" xmlns:r="http://schemas.openxmlformats.org/officeDocument/2006/relationships" ax:classid="{5512D11A-5CC6-11CF-8D67-00AA00BDCE1D}" ax:persistence="persistStream" r:id="rId1"/>
</file>

<file path=xl/activeX/activeX13.xml><?xml version="1.0" encoding="utf-8"?>
<ax:ocx xmlns:ax="http://schemas.microsoft.com/office/2006/activeX" xmlns:r="http://schemas.openxmlformats.org/officeDocument/2006/relationships" ax:classid="{5512D11A-5CC6-11CF-8D67-00AA00BDCE1D}" ax:persistence="persistStream" r:id="rId1"/>
</file>

<file path=xl/activeX/activeX14.xml><?xml version="1.0" encoding="utf-8"?>
<ax:ocx xmlns:ax="http://schemas.microsoft.com/office/2006/activeX" xmlns:r="http://schemas.openxmlformats.org/officeDocument/2006/relationships" ax:classid="{5512D11A-5CC6-11CF-8D67-00AA00BDCE1D}" ax:persistence="persistStream" r:id="rId1"/>
</file>

<file path=xl/activeX/activeX15.xml><?xml version="1.0" encoding="utf-8"?>
<ax:ocx xmlns:ax="http://schemas.microsoft.com/office/2006/activeX" xmlns:r="http://schemas.openxmlformats.org/officeDocument/2006/relationships" ax:classid="{5512D11A-5CC6-11CF-8D67-00AA00BDCE1D}" ax:persistence="persistStream" r:id="rId1"/>
</file>

<file path=xl/activeX/activeX16.xml><?xml version="1.0" encoding="utf-8"?>
<ax:ocx xmlns:ax="http://schemas.microsoft.com/office/2006/activeX" xmlns:r="http://schemas.openxmlformats.org/officeDocument/2006/relationships" ax:classid="{5512D11A-5CC6-11CF-8D67-00AA00BDCE1D}" ax:persistence="persistStream" r:id="rId1"/>
</file>

<file path=xl/activeX/activeX17.xml><?xml version="1.0" encoding="utf-8"?>
<ax:ocx xmlns:ax="http://schemas.microsoft.com/office/2006/activeX" xmlns:r="http://schemas.openxmlformats.org/officeDocument/2006/relationships" ax:classid="{5512D11A-5CC6-11CF-8D67-00AA00BDCE1D}" ax:persistence="persistStream" r:id="rId1"/>
</file>

<file path=xl/activeX/activeX18.xml><?xml version="1.0" encoding="utf-8"?>
<ax:ocx xmlns:ax="http://schemas.microsoft.com/office/2006/activeX" xmlns:r="http://schemas.openxmlformats.org/officeDocument/2006/relationships" ax:classid="{5512D11A-5CC6-11CF-8D67-00AA00BDCE1D}" ax:persistence="persistStream" r:id="rId1"/>
</file>

<file path=xl/activeX/activeX19.xml><?xml version="1.0" encoding="utf-8"?>
<ax:ocx xmlns:ax="http://schemas.microsoft.com/office/2006/activeX" xmlns:r="http://schemas.openxmlformats.org/officeDocument/2006/relationships" ax:classid="{5512D11A-5CC6-11CF-8D67-00AA00BDCE1D}" ax:persistence="persistStream" r:id="rId1"/>
</file>

<file path=xl/activeX/activeX2.xml><?xml version="1.0" encoding="utf-8"?>
<ax:ocx xmlns:ax="http://schemas.microsoft.com/office/2006/activeX" xmlns:r="http://schemas.openxmlformats.org/officeDocument/2006/relationships" ax:classid="{5512D11A-5CC6-11CF-8D67-00AA00BDCE1D}" ax:persistence="persistStream" r:id="rId1"/>
</file>

<file path=xl/activeX/activeX20.xml><?xml version="1.0" encoding="utf-8"?>
<ax:ocx xmlns:ax="http://schemas.microsoft.com/office/2006/activeX" xmlns:r="http://schemas.openxmlformats.org/officeDocument/2006/relationships" ax:classid="{5512D11A-5CC6-11CF-8D67-00AA00BDCE1D}" ax:persistence="persistStream" r:id="rId1"/>
</file>

<file path=xl/activeX/activeX21.xml><?xml version="1.0" encoding="utf-8"?>
<ax:ocx xmlns:ax="http://schemas.microsoft.com/office/2006/activeX" xmlns:r="http://schemas.openxmlformats.org/officeDocument/2006/relationships" ax:classid="{5512D11A-5CC6-11CF-8D67-00AA00BDCE1D}" ax:persistence="persistStream" r:id="rId1"/>
</file>

<file path=xl/activeX/activeX22.xml><?xml version="1.0" encoding="utf-8"?>
<ax:ocx xmlns:ax="http://schemas.microsoft.com/office/2006/activeX" xmlns:r="http://schemas.openxmlformats.org/officeDocument/2006/relationships" ax:classid="{5512D11A-5CC6-11CF-8D67-00AA00BDCE1D}" ax:persistence="persistStream" r:id="rId1"/>
</file>

<file path=xl/activeX/activeX23.xml><?xml version="1.0" encoding="utf-8"?>
<ax:ocx xmlns:ax="http://schemas.microsoft.com/office/2006/activeX" xmlns:r="http://schemas.openxmlformats.org/officeDocument/2006/relationships" ax:classid="{5512D11A-5CC6-11CF-8D67-00AA00BDCE1D}" ax:persistence="persistStream" r:id="rId1"/>
</file>

<file path=xl/activeX/activeX24.xml><?xml version="1.0" encoding="utf-8"?>
<ax:ocx xmlns:ax="http://schemas.microsoft.com/office/2006/activeX" xmlns:r="http://schemas.openxmlformats.org/officeDocument/2006/relationships" ax:classid="{5512D11A-5CC6-11CF-8D67-00AA00BDCE1D}" ax:persistence="persistStream" r:id="rId1"/>
</file>

<file path=xl/activeX/activeX25.xml><?xml version="1.0" encoding="utf-8"?>
<ax:ocx xmlns:ax="http://schemas.microsoft.com/office/2006/activeX" xmlns:r="http://schemas.openxmlformats.org/officeDocument/2006/relationships" ax:classid="{5512D11A-5CC6-11CF-8D67-00AA00BDCE1D}" ax:persistence="persistStream" r:id="rId1"/>
</file>

<file path=xl/activeX/activeX3.xml><?xml version="1.0" encoding="utf-8"?>
<ax:ocx xmlns:ax="http://schemas.microsoft.com/office/2006/activeX" xmlns:r="http://schemas.openxmlformats.org/officeDocument/2006/relationships" ax:classid="{5512D11A-5CC6-11CF-8D67-00AA00BDCE1D}" ax:persistence="persistStream" r:id="rId1"/>
</file>

<file path=xl/activeX/activeX4.xml><?xml version="1.0" encoding="utf-8"?>
<ax:ocx xmlns:ax="http://schemas.microsoft.com/office/2006/activeX" xmlns:r="http://schemas.openxmlformats.org/officeDocument/2006/relationships" ax:classid="{5512D11A-5CC6-11CF-8D67-00AA00BDCE1D}" ax:persistence="persistStream" r:id="rId1"/>
</file>

<file path=xl/activeX/activeX5.xml><?xml version="1.0" encoding="utf-8"?>
<ax:ocx xmlns:ax="http://schemas.microsoft.com/office/2006/activeX" xmlns:r="http://schemas.openxmlformats.org/officeDocument/2006/relationships" ax:classid="{5512D11A-5CC6-11CF-8D67-00AA00BDCE1D}" ax:persistence="persistStream" r:id="rId1"/>
</file>

<file path=xl/activeX/activeX6.xml><?xml version="1.0" encoding="utf-8"?>
<ax:ocx xmlns:ax="http://schemas.microsoft.com/office/2006/activeX" xmlns:r="http://schemas.openxmlformats.org/officeDocument/2006/relationships" ax:classid="{5512D11A-5CC6-11CF-8D67-00AA00BDCE1D}" ax:persistence="persistStream" r:id="rId1"/>
</file>

<file path=xl/activeX/activeX7.xml><?xml version="1.0" encoding="utf-8"?>
<ax:ocx xmlns:ax="http://schemas.microsoft.com/office/2006/activeX" xmlns:r="http://schemas.openxmlformats.org/officeDocument/2006/relationships" ax:classid="{5512D11A-5CC6-11CF-8D67-00AA00BDCE1D}" ax:persistence="persistStream" r:id="rId1"/>
</file>

<file path=xl/activeX/activeX8.xml><?xml version="1.0" encoding="utf-8"?>
<ax:ocx xmlns:ax="http://schemas.microsoft.com/office/2006/activeX" xmlns:r="http://schemas.openxmlformats.org/officeDocument/2006/relationships" ax:classid="{5512D11A-5CC6-11CF-8D67-00AA00BDCE1D}" ax:persistence="persistStream" r:id="rId1"/>
</file>

<file path=xl/activeX/activeX9.xml><?xml version="1.0" encoding="utf-8"?>
<ax:ocx xmlns:ax="http://schemas.microsoft.com/office/2006/activeX" xmlns:r="http://schemas.openxmlformats.org/officeDocument/2006/relationships" ax:classid="{5512D11A-5CC6-11CF-8D67-00AA00BDCE1D}" ax:persistence="persistStream" r:id="rId1"/>
</file>

<file path=xl/drawings/_rels/vmlDrawing1.vml.rels><?xml version="1.0" encoding="UTF-8" standalone="yes"?>
<Relationships xmlns="http://schemas.openxmlformats.org/package/2006/relationships"><Relationship Id="rId8" Type="http://schemas.openxmlformats.org/officeDocument/2006/relationships/image" Target="../media/image18.emf"/><Relationship Id="rId13" Type="http://schemas.openxmlformats.org/officeDocument/2006/relationships/image" Target="../media/image12.emf"/><Relationship Id="rId18" Type="http://schemas.openxmlformats.org/officeDocument/2006/relationships/image" Target="../media/image7.emf"/><Relationship Id="rId3" Type="http://schemas.openxmlformats.org/officeDocument/2006/relationships/image" Target="../media/image23.emf"/><Relationship Id="rId21" Type="http://schemas.openxmlformats.org/officeDocument/2006/relationships/image" Target="../media/image4.emf"/><Relationship Id="rId7" Type="http://schemas.openxmlformats.org/officeDocument/2006/relationships/image" Target="../media/image19.emf"/><Relationship Id="rId12" Type="http://schemas.openxmlformats.org/officeDocument/2006/relationships/image" Target="../media/image13.emf"/><Relationship Id="rId17" Type="http://schemas.openxmlformats.org/officeDocument/2006/relationships/image" Target="../media/image8.emf"/><Relationship Id="rId2" Type="http://schemas.openxmlformats.org/officeDocument/2006/relationships/image" Target="../media/image24.emf"/><Relationship Id="rId16" Type="http://schemas.openxmlformats.org/officeDocument/2006/relationships/image" Target="../media/image9.emf"/><Relationship Id="rId20" Type="http://schemas.openxmlformats.org/officeDocument/2006/relationships/image" Target="../media/image5.emf"/><Relationship Id="rId1" Type="http://schemas.openxmlformats.org/officeDocument/2006/relationships/image" Target="../media/image15.emf"/><Relationship Id="rId6" Type="http://schemas.openxmlformats.org/officeDocument/2006/relationships/image" Target="../media/image20.emf"/><Relationship Id="rId11" Type="http://schemas.openxmlformats.org/officeDocument/2006/relationships/image" Target="../media/image14.emf"/><Relationship Id="rId24" Type="http://schemas.openxmlformats.org/officeDocument/2006/relationships/image" Target="../media/image1.emf"/><Relationship Id="rId5" Type="http://schemas.openxmlformats.org/officeDocument/2006/relationships/image" Target="../media/image21.emf"/><Relationship Id="rId15" Type="http://schemas.openxmlformats.org/officeDocument/2006/relationships/image" Target="../media/image10.emf"/><Relationship Id="rId23" Type="http://schemas.openxmlformats.org/officeDocument/2006/relationships/image" Target="../media/image2.emf"/><Relationship Id="rId10" Type="http://schemas.openxmlformats.org/officeDocument/2006/relationships/image" Target="../media/image16.emf"/><Relationship Id="rId19" Type="http://schemas.openxmlformats.org/officeDocument/2006/relationships/image" Target="../media/image6.emf"/><Relationship Id="rId4" Type="http://schemas.openxmlformats.org/officeDocument/2006/relationships/image" Target="../media/image22.emf"/><Relationship Id="rId9" Type="http://schemas.openxmlformats.org/officeDocument/2006/relationships/image" Target="../media/image17.emf"/><Relationship Id="rId14" Type="http://schemas.openxmlformats.org/officeDocument/2006/relationships/image" Target="../media/image11.emf"/><Relationship Id="rId22"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5</xdr:col>
      <xdr:colOff>0</xdr:colOff>
      <xdr:row>37</xdr:row>
      <xdr:rowOff>0</xdr:rowOff>
    </xdr:from>
    <xdr:to>
      <xdr:col>5</xdr:col>
      <xdr:colOff>7620</xdr:colOff>
      <xdr:row>37</xdr:row>
      <xdr:rowOff>533400</xdr:rowOff>
    </xdr:to>
    <xdr:grpSp>
      <xdr:nvGrpSpPr>
        <xdr:cNvPr id="2" name="Group 50675"/>
        <xdr:cNvGrpSpPr>
          <a:grpSpLocks/>
        </xdr:cNvGrpSpPr>
      </xdr:nvGrpSpPr>
      <xdr:grpSpPr bwMode="auto">
        <a:xfrm>
          <a:off x="4333875" y="12839700"/>
          <a:ext cx="7620" cy="533400"/>
          <a:chOff x="0" y="0"/>
          <a:chExt cx="106" cy="5318"/>
        </a:xfrm>
      </xdr:grpSpPr>
      <xdr:sp macro="" textlink="">
        <xdr:nvSpPr>
          <xdr:cNvPr id="3" name="Shape 59626"/>
          <xdr:cNvSpPr>
            <a:spLocks/>
          </xdr:cNvSpPr>
        </xdr:nvSpPr>
        <xdr:spPr bwMode="auto">
          <a:xfrm>
            <a:off x="0" y="0"/>
            <a:ext cx="106" cy="167"/>
          </a:xfrm>
          <a:custGeom>
            <a:avLst/>
            <a:gdLst>
              <a:gd name="T0" fmla="*/ 0 w 10668"/>
              <a:gd name="T1" fmla="*/ 0 h 16764"/>
              <a:gd name="T2" fmla="*/ 10668 w 10668"/>
              <a:gd name="T3" fmla="*/ 0 h 16764"/>
              <a:gd name="T4" fmla="*/ 10668 w 10668"/>
              <a:gd name="T5" fmla="*/ 16764 h 16764"/>
              <a:gd name="T6" fmla="*/ 0 w 10668"/>
              <a:gd name="T7" fmla="*/ 16764 h 16764"/>
              <a:gd name="T8" fmla="*/ 0 w 10668"/>
              <a:gd name="T9" fmla="*/ 0 h 16764"/>
              <a:gd name="T10" fmla="*/ 0 w 10668"/>
              <a:gd name="T11" fmla="*/ 0 h 16764"/>
              <a:gd name="T12" fmla="*/ 10668 w 10668"/>
              <a:gd name="T13" fmla="*/ 16764 h 16764"/>
            </a:gdLst>
            <a:ahLst/>
            <a:cxnLst>
              <a:cxn ang="0">
                <a:pos x="T0" y="T1"/>
              </a:cxn>
              <a:cxn ang="0">
                <a:pos x="T2" y="T3"/>
              </a:cxn>
              <a:cxn ang="0">
                <a:pos x="T4" y="T5"/>
              </a:cxn>
              <a:cxn ang="0">
                <a:pos x="T6" y="T7"/>
              </a:cxn>
              <a:cxn ang="0">
                <a:pos x="T8" y="T9"/>
              </a:cxn>
            </a:cxnLst>
            <a:rect l="T10" t="T11" r="T12" b="T13"/>
            <a:pathLst>
              <a:path w="10668" h="16764">
                <a:moveTo>
                  <a:pt x="0" y="0"/>
                </a:moveTo>
                <a:lnTo>
                  <a:pt x="10668" y="0"/>
                </a:lnTo>
                <a:lnTo>
                  <a:pt x="10668" y="16764"/>
                </a:lnTo>
                <a:lnTo>
                  <a:pt x="0" y="16764"/>
                </a:lnTo>
                <a:lnTo>
                  <a:pt x="0" y="0"/>
                </a:lnTo>
              </a:path>
            </a:pathLst>
          </a:custGeom>
          <a:solidFill>
            <a:srgbClr val="000000"/>
          </a:solidFill>
          <a:ln w="0">
            <a:noFill/>
            <a:miter lim="127000"/>
            <a:headEnd/>
            <a:tailEnd/>
          </a:ln>
        </xdr:spPr>
      </xdr:sp>
      <xdr:sp macro="" textlink="">
        <xdr:nvSpPr>
          <xdr:cNvPr id="4" name="Shape 59627"/>
          <xdr:cNvSpPr>
            <a:spLocks/>
          </xdr:cNvSpPr>
        </xdr:nvSpPr>
        <xdr:spPr bwMode="auto">
          <a:xfrm>
            <a:off x="0" y="167"/>
            <a:ext cx="106" cy="5151"/>
          </a:xfrm>
          <a:custGeom>
            <a:avLst/>
            <a:gdLst>
              <a:gd name="T0" fmla="*/ 0 w 10668"/>
              <a:gd name="T1" fmla="*/ 0 h 515112"/>
              <a:gd name="T2" fmla="*/ 10668 w 10668"/>
              <a:gd name="T3" fmla="*/ 0 h 515112"/>
              <a:gd name="T4" fmla="*/ 10668 w 10668"/>
              <a:gd name="T5" fmla="*/ 515112 h 515112"/>
              <a:gd name="T6" fmla="*/ 0 w 10668"/>
              <a:gd name="T7" fmla="*/ 515112 h 515112"/>
              <a:gd name="T8" fmla="*/ 0 w 10668"/>
              <a:gd name="T9" fmla="*/ 0 h 515112"/>
              <a:gd name="T10" fmla="*/ 0 w 10668"/>
              <a:gd name="T11" fmla="*/ 0 h 515112"/>
              <a:gd name="T12" fmla="*/ 10668 w 10668"/>
              <a:gd name="T13" fmla="*/ 515112 h 515112"/>
            </a:gdLst>
            <a:ahLst/>
            <a:cxnLst>
              <a:cxn ang="0">
                <a:pos x="T0" y="T1"/>
              </a:cxn>
              <a:cxn ang="0">
                <a:pos x="T2" y="T3"/>
              </a:cxn>
              <a:cxn ang="0">
                <a:pos x="T4" y="T5"/>
              </a:cxn>
              <a:cxn ang="0">
                <a:pos x="T6" y="T7"/>
              </a:cxn>
              <a:cxn ang="0">
                <a:pos x="T8" y="T9"/>
              </a:cxn>
            </a:cxnLst>
            <a:rect l="T10" t="T11" r="T12" b="T13"/>
            <a:pathLst>
              <a:path w="10668" h="515112">
                <a:moveTo>
                  <a:pt x="0" y="0"/>
                </a:moveTo>
                <a:lnTo>
                  <a:pt x="10668" y="0"/>
                </a:lnTo>
                <a:lnTo>
                  <a:pt x="10668" y="515112"/>
                </a:lnTo>
                <a:lnTo>
                  <a:pt x="0" y="515112"/>
                </a:lnTo>
                <a:lnTo>
                  <a:pt x="0" y="0"/>
                </a:lnTo>
              </a:path>
            </a:pathLst>
          </a:custGeom>
          <a:solidFill>
            <a:srgbClr val="000000"/>
          </a:solidFill>
          <a:ln w="0">
            <a:noFill/>
            <a:miter lim="127000"/>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19051</xdr:colOff>
      <xdr:row>102</xdr:row>
      <xdr:rowOff>333375</xdr:rowOff>
    </xdr:from>
    <xdr:to>
      <xdr:col>3</xdr:col>
      <xdr:colOff>342900</xdr:colOff>
      <xdr:row>102</xdr:row>
      <xdr:rowOff>361950</xdr:rowOff>
    </xdr:to>
    <xdr:cxnSp macro="">
      <xdr:nvCxnSpPr>
        <xdr:cNvPr id="2" name="Прямая соединительная линия 2"/>
        <xdr:cNvCxnSpPr/>
      </xdr:nvCxnSpPr>
      <xdr:spPr>
        <a:xfrm flipH="1" flipV="1">
          <a:off x="1866901" y="29298900"/>
          <a:ext cx="323849" cy="285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0</xdr:colOff>
          <xdr:row>4</xdr:row>
          <xdr:rowOff>0</xdr:rowOff>
        </xdr:from>
        <xdr:to>
          <xdr:col>32</xdr:col>
          <xdr:colOff>323850</xdr:colOff>
          <xdr:row>4</xdr:row>
          <xdr:rowOff>228600</xdr:rowOff>
        </xdr:to>
        <xdr:sp macro="" textlink="">
          <xdr:nvSpPr>
            <xdr:cNvPr id="2049" name="Control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5</xdr:row>
          <xdr:rowOff>0</xdr:rowOff>
        </xdr:from>
        <xdr:to>
          <xdr:col>32</xdr:col>
          <xdr:colOff>323850</xdr:colOff>
          <xdr:row>5</xdr:row>
          <xdr:rowOff>228600</xdr:rowOff>
        </xdr:to>
        <xdr:sp macro="" textlink="">
          <xdr:nvSpPr>
            <xdr:cNvPr id="2050" name="Control 2"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6</xdr:row>
          <xdr:rowOff>0</xdr:rowOff>
        </xdr:from>
        <xdr:to>
          <xdr:col>32</xdr:col>
          <xdr:colOff>323850</xdr:colOff>
          <xdr:row>6</xdr:row>
          <xdr:rowOff>228600</xdr:rowOff>
        </xdr:to>
        <xdr:sp macro="" textlink="">
          <xdr:nvSpPr>
            <xdr:cNvPr id="2051" name="Control 3"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7</xdr:row>
          <xdr:rowOff>0</xdr:rowOff>
        </xdr:from>
        <xdr:to>
          <xdr:col>32</xdr:col>
          <xdr:colOff>323850</xdr:colOff>
          <xdr:row>7</xdr:row>
          <xdr:rowOff>228600</xdr:rowOff>
        </xdr:to>
        <xdr:sp macro="" textlink="">
          <xdr:nvSpPr>
            <xdr:cNvPr id="2052" name="Control 4" hidden="1">
              <a:extLst>
                <a:ext uri="{63B3BB69-23CF-44E3-9099-C40C66FF867C}">
                  <a14:compatExt spid="_x0000_s2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8</xdr:row>
          <xdr:rowOff>0</xdr:rowOff>
        </xdr:from>
        <xdr:to>
          <xdr:col>32</xdr:col>
          <xdr:colOff>323850</xdr:colOff>
          <xdr:row>8</xdr:row>
          <xdr:rowOff>228600</xdr:rowOff>
        </xdr:to>
        <xdr:sp macro="" textlink="">
          <xdr:nvSpPr>
            <xdr:cNvPr id="2053" name="Control 5" hidden="1">
              <a:extLst>
                <a:ext uri="{63B3BB69-23CF-44E3-9099-C40C66FF867C}">
                  <a14:compatExt spid="_x0000_s2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xdr:row>
          <xdr:rowOff>0</xdr:rowOff>
        </xdr:from>
        <xdr:to>
          <xdr:col>32</xdr:col>
          <xdr:colOff>323850</xdr:colOff>
          <xdr:row>9</xdr:row>
          <xdr:rowOff>228600</xdr:rowOff>
        </xdr:to>
        <xdr:sp macro="" textlink="">
          <xdr:nvSpPr>
            <xdr:cNvPr id="2054" name="Control 6" hidden="1">
              <a:extLst>
                <a:ext uri="{63B3BB69-23CF-44E3-9099-C40C66FF867C}">
                  <a14:compatExt spid="_x0000_s2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xdr:row>
          <xdr:rowOff>0</xdr:rowOff>
        </xdr:from>
        <xdr:to>
          <xdr:col>32</xdr:col>
          <xdr:colOff>323850</xdr:colOff>
          <xdr:row>9</xdr:row>
          <xdr:rowOff>228600</xdr:rowOff>
        </xdr:to>
        <xdr:sp macro="" textlink="">
          <xdr:nvSpPr>
            <xdr:cNvPr id="2055" name="Control 7" hidden="1">
              <a:extLst>
                <a:ext uri="{63B3BB69-23CF-44E3-9099-C40C66FF867C}">
                  <a14:compatExt spid="_x0000_s2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xdr:row>
          <xdr:rowOff>0</xdr:rowOff>
        </xdr:from>
        <xdr:to>
          <xdr:col>32</xdr:col>
          <xdr:colOff>323850</xdr:colOff>
          <xdr:row>9</xdr:row>
          <xdr:rowOff>228600</xdr:rowOff>
        </xdr:to>
        <xdr:sp macro="" textlink="">
          <xdr:nvSpPr>
            <xdr:cNvPr id="2056" name="Control 8" hidden="1">
              <a:extLst>
                <a:ext uri="{63B3BB69-23CF-44E3-9099-C40C66FF867C}">
                  <a14:compatExt spid="_x0000_s2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xdr:row>
          <xdr:rowOff>0</xdr:rowOff>
        </xdr:from>
        <xdr:to>
          <xdr:col>32</xdr:col>
          <xdr:colOff>323850</xdr:colOff>
          <xdr:row>9</xdr:row>
          <xdr:rowOff>228600</xdr:rowOff>
        </xdr:to>
        <xdr:sp macro="" textlink="">
          <xdr:nvSpPr>
            <xdr:cNvPr id="2057" name="Control 9" hidden="1">
              <a:extLst>
                <a:ext uri="{63B3BB69-23CF-44E3-9099-C40C66FF867C}">
                  <a14:compatExt spid="_x0000_s2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xdr:row>
          <xdr:rowOff>0</xdr:rowOff>
        </xdr:from>
        <xdr:to>
          <xdr:col>32</xdr:col>
          <xdr:colOff>323850</xdr:colOff>
          <xdr:row>9</xdr:row>
          <xdr:rowOff>228600</xdr:rowOff>
        </xdr:to>
        <xdr:sp macro="" textlink="">
          <xdr:nvSpPr>
            <xdr:cNvPr id="2058" name="Control 10" hidden="1">
              <a:extLst>
                <a:ext uri="{63B3BB69-23CF-44E3-9099-C40C66FF867C}">
                  <a14:compatExt spid="_x0000_s20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xdr:row>
          <xdr:rowOff>0</xdr:rowOff>
        </xdr:from>
        <xdr:to>
          <xdr:col>32</xdr:col>
          <xdr:colOff>323850</xdr:colOff>
          <xdr:row>10</xdr:row>
          <xdr:rowOff>228600</xdr:rowOff>
        </xdr:to>
        <xdr:sp macro="" textlink="">
          <xdr:nvSpPr>
            <xdr:cNvPr id="2059" name="Control 11" hidden="1">
              <a:extLst>
                <a:ext uri="{63B3BB69-23CF-44E3-9099-C40C66FF867C}">
                  <a14:compatExt spid="_x0000_s20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xdr:row>
          <xdr:rowOff>0</xdr:rowOff>
        </xdr:from>
        <xdr:to>
          <xdr:col>32</xdr:col>
          <xdr:colOff>323850</xdr:colOff>
          <xdr:row>10</xdr:row>
          <xdr:rowOff>228600</xdr:rowOff>
        </xdr:to>
        <xdr:sp macro="" textlink="">
          <xdr:nvSpPr>
            <xdr:cNvPr id="2060" name="Control 12" hidden="1">
              <a:extLst>
                <a:ext uri="{63B3BB69-23CF-44E3-9099-C40C66FF867C}">
                  <a14:compatExt spid="_x0000_s20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12</xdr:row>
          <xdr:rowOff>0</xdr:rowOff>
        </xdr:from>
        <xdr:to>
          <xdr:col>32</xdr:col>
          <xdr:colOff>323850</xdr:colOff>
          <xdr:row>12</xdr:row>
          <xdr:rowOff>228600</xdr:rowOff>
        </xdr:to>
        <xdr:sp macro="" textlink="">
          <xdr:nvSpPr>
            <xdr:cNvPr id="2061" name="Control 13" hidden="1">
              <a:extLst>
                <a:ext uri="{63B3BB69-23CF-44E3-9099-C40C66FF867C}">
                  <a14:compatExt spid="_x0000_s20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12</xdr:row>
          <xdr:rowOff>0</xdr:rowOff>
        </xdr:from>
        <xdr:to>
          <xdr:col>32</xdr:col>
          <xdr:colOff>323850</xdr:colOff>
          <xdr:row>12</xdr:row>
          <xdr:rowOff>228600</xdr:rowOff>
        </xdr:to>
        <xdr:sp macro="" textlink="">
          <xdr:nvSpPr>
            <xdr:cNvPr id="2062" name="Control 14" hidden="1">
              <a:extLst>
                <a:ext uri="{63B3BB69-23CF-44E3-9099-C40C66FF867C}">
                  <a14:compatExt spid="_x0000_s20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12</xdr:row>
          <xdr:rowOff>0</xdr:rowOff>
        </xdr:from>
        <xdr:to>
          <xdr:col>32</xdr:col>
          <xdr:colOff>323850</xdr:colOff>
          <xdr:row>12</xdr:row>
          <xdr:rowOff>228600</xdr:rowOff>
        </xdr:to>
        <xdr:sp macro="" textlink="">
          <xdr:nvSpPr>
            <xdr:cNvPr id="2063" name="Control 15" hidden="1">
              <a:extLst>
                <a:ext uri="{63B3BB69-23CF-44E3-9099-C40C66FF867C}">
                  <a14:compatExt spid="_x0000_s20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12</xdr:row>
          <xdr:rowOff>0</xdr:rowOff>
        </xdr:from>
        <xdr:to>
          <xdr:col>32</xdr:col>
          <xdr:colOff>323850</xdr:colOff>
          <xdr:row>12</xdr:row>
          <xdr:rowOff>228600</xdr:rowOff>
        </xdr:to>
        <xdr:sp macro="" textlink="">
          <xdr:nvSpPr>
            <xdr:cNvPr id="2064" name="Control 16" hidden="1">
              <a:extLst>
                <a:ext uri="{63B3BB69-23CF-44E3-9099-C40C66FF867C}">
                  <a14:compatExt spid="_x0000_s20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12</xdr:row>
          <xdr:rowOff>0</xdr:rowOff>
        </xdr:from>
        <xdr:to>
          <xdr:col>32</xdr:col>
          <xdr:colOff>323850</xdr:colOff>
          <xdr:row>12</xdr:row>
          <xdr:rowOff>228600</xdr:rowOff>
        </xdr:to>
        <xdr:sp macro="" textlink="">
          <xdr:nvSpPr>
            <xdr:cNvPr id="2065" name="Control 17" hidden="1">
              <a:extLst>
                <a:ext uri="{63B3BB69-23CF-44E3-9099-C40C66FF867C}">
                  <a14:compatExt spid="_x0000_s20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13</xdr:row>
          <xdr:rowOff>0</xdr:rowOff>
        </xdr:from>
        <xdr:to>
          <xdr:col>32</xdr:col>
          <xdr:colOff>323850</xdr:colOff>
          <xdr:row>13</xdr:row>
          <xdr:rowOff>228600</xdr:rowOff>
        </xdr:to>
        <xdr:sp macro="" textlink="">
          <xdr:nvSpPr>
            <xdr:cNvPr id="2066" name="Control 18" hidden="1">
              <a:extLst>
                <a:ext uri="{63B3BB69-23CF-44E3-9099-C40C66FF867C}">
                  <a14:compatExt spid="_x0000_s20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14</xdr:row>
          <xdr:rowOff>0</xdr:rowOff>
        </xdr:from>
        <xdr:to>
          <xdr:col>32</xdr:col>
          <xdr:colOff>323850</xdr:colOff>
          <xdr:row>14</xdr:row>
          <xdr:rowOff>228600</xdr:rowOff>
        </xdr:to>
        <xdr:sp macro="" textlink="">
          <xdr:nvSpPr>
            <xdr:cNvPr id="2067" name="Control 19" hidden="1">
              <a:extLst>
                <a:ext uri="{63B3BB69-23CF-44E3-9099-C40C66FF867C}">
                  <a14:compatExt spid="_x0000_s20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14</xdr:row>
          <xdr:rowOff>0</xdr:rowOff>
        </xdr:from>
        <xdr:to>
          <xdr:col>32</xdr:col>
          <xdr:colOff>323850</xdr:colOff>
          <xdr:row>14</xdr:row>
          <xdr:rowOff>228600</xdr:rowOff>
        </xdr:to>
        <xdr:sp macro="" textlink="">
          <xdr:nvSpPr>
            <xdr:cNvPr id="2068" name="Control 20" hidden="1">
              <a:extLst>
                <a:ext uri="{63B3BB69-23CF-44E3-9099-C40C66FF867C}">
                  <a14:compatExt spid="_x0000_s20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15</xdr:row>
          <xdr:rowOff>0</xdr:rowOff>
        </xdr:from>
        <xdr:to>
          <xdr:col>32</xdr:col>
          <xdr:colOff>323850</xdr:colOff>
          <xdr:row>15</xdr:row>
          <xdr:rowOff>228600</xdr:rowOff>
        </xdr:to>
        <xdr:sp macro="" textlink="">
          <xdr:nvSpPr>
            <xdr:cNvPr id="2069" name="Control 21" hidden="1">
              <a:extLst>
                <a:ext uri="{63B3BB69-23CF-44E3-9099-C40C66FF867C}">
                  <a14:compatExt spid="_x0000_s20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16</xdr:row>
          <xdr:rowOff>0</xdr:rowOff>
        </xdr:from>
        <xdr:to>
          <xdr:col>32</xdr:col>
          <xdr:colOff>9525</xdr:colOff>
          <xdr:row>16</xdr:row>
          <xdr:rowOff>228600</xdr:rowOff>
        </xdr:to>
        <xdr:sp macro="" textlink="">
          <xdr:nvSpPr>
            <xdr:cNvPr id="2070" name="Control 22" hidden="1">
              <a:extLst>
                <a:ext uri="{63B3BB69-23CF-44E3-9099-C40C66FF867C}">
                  <a14:compatExt spid="_x0000_s20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17</xdr:row>
          <xdr:rowOff>0</xdr:rowOff>
        </xdr:from>
        <xdr:to>
          <xdr:col>32</xdr:col>
          <xdr:colOff>323850</xdr:colOff>
          <xdr:row>17</xdr:row>
          <xdr:rowOff>228600</xdr:rowOff>
        </xdr:to>
        <xdr:sp macro="" textlink="">
          <xdr:nvSpPr>
            <xdr:cNvPr id="2071" name="Control 23" hidden="1">
              <a:extLst>
                <a:ext uri="{63B3BB69-23CF-44E3-9099-C40C66FF867C}">
                  <a14:compatExt spid="_x0000_s20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17</xdr:row>
          <xdr:rowOff>0</xdr:rowOff>
        </xdr:from>
        <xdr:to>
          <xdr:col>32</xdr:col>
          <xdr:colOff>323850</xdr:colOff>
          <xdr:row>17</xdr:row>
          <xdr:rowOff>228600</xdr:rowOff>
        </xdr:to>
        <xdr:sp macro="" textlink="">
          <xdr:nvSpPr>
            <xdr:cNvPr id="2072" name="Control 24" hidden="1">
              <a:extLst>
                <a:ext uri="{63B3BB69-23CF-44E3-9099-C40C66FF867C}">
                  <a14:compatExt spid="_x0000_s20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18</xdr:row>
          <xdr:rowOff>0</xdr:rowOff>
        </xdr:from>
        <xdr:to>
          <xdr:col>32</xdr:col>
          <xdr:colOff>323850</xdr:colOff>
          <xdr:row>18</xdr:row>
          <xdr:rowOff>228600</xdr:rowOff>
        </xdr:to>
        <xdr:sp macro="" textlink="">
          <xdr:nvSpPr>
            <xdr:cNvPr id="2073" name="Control 25" hidden="1">
              <a:extLst>
                <a:ext uri="{63B3BB69-23CF-44E3-9099-C40C66FF867C}">
                  <a14:compatExt spid="_x0000_s2073"/>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ontrol" Target="../activeX/activeX8.xml"/><Relationship Id="rId26" Type="http://schemas.openxmlformats.org/officeDocument/2006/relationships/control" Target="../activeX/activeX12.xml"/><Relationship Id="rId39" Type="http://schemas.openxmlformats.org/officeDocument/2006/relationships/image" Target="../media/image18.emf"/><Relationship Id="rId3" Type="http://schemas.openxmlformats.org/officeDocument/2006/relationships/vmlDrawing" Target="../drawings/vmlDrawing1.vml"/><Relationship Id="rId21" Type="http://schemas.openxmlformats.org/officeDocument/2006/relationships/image" Target="../media/image9.emf"/><Relationship Id="rId34" Type="http://schemas.openxmlformats.org/officeDocument/2006/relationships/control" Target="../activeX/activeX16.xml"/><Relationship Id="rId42" Type="http://schemas.openxmlformats.org/officeDocument/2006/relationships/control" Target="../activeX/activeX20.xml"/><Relationship Id="rId47" Type="http://schemas.openxmlformats.org/officeDocument/2006/relationships/image" Target="../media/image22.emf"/><Relationship Id="rId50" Type="http://schemas.openxmlformats.org/officeDocument/2006/relationships/control" Target="../activeX/activeX24.xml"/><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46" Type="http://schemas.openxmlformats.org/officeDocument/2006/relationships/control" Target="../activeX/activeX22.xml"/><Relationship Id="rId2" Type="http://schemas.openxmlformats.org/officeDocument/2006/relationships/drawing" Target="../drawings/drawing3.xml"/><Relationship Id="rId16" Type="http://schemas.openxmlformats.org/officeDocument/2006/relationships/control" Target="../activeX/activeX7.xml"/><Relationship Id="rId20" Type="http://schemas.openxmlformats.org/officeDocument/2006/relationships/control" Target="../activeX/activeX9.xml"/><Relationship Id="rId29" Type="http://schemas.openxmlformats.org/officeDocument/2006/relationships/image" Target="../media/image13.emf"/><Relationship Id="rId41" Type="http://schemas.openxmlformats.org/officeDocument/2006/relationships/image" Target="../media/image19.emf"/><Relationship Id="rId1" Type="http://schemas.openxmlformats.org/officeDocument/2006/relationships/printerSettings" Target="../printerSettings/printerSettings5.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ontrol" Target="../activeX/activeX11.xml"/><Relationship Id="rId32" Type="http://schemas.openxmlformats.org/officeDocument/2006/relationships/control" Target="../activeX/activeX15.xml"/><Relationship Id="rId37" Type="http://schemas.openxmlformats.org/officeDocument/2006/relationships/image" Target="../media/image17.emf"/><Relationship Id="rId40" Type="http://schemas.openxmlformats.org/officeDocument/2006/relationships/control" Target="../activeX/activeX19.xml"/><Relationship Id="rId45" Type="http://schemas.openxmlformats.org/officeDocument/2006/relationships/image" Target="../media/image21.emf"/><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image" Target="../media/image23.emf"/><Relationship Id="rId10" Type="http://schemas.openxmlformats.org/officeDocument/2006/relationships/control" Target="../activeX/activeX4.xml"/><Relationship Id="rId19" Type="http://schemas.openxmlformats.org/officeDocument/2006/relationships/image" Target="../media/image8.emf"/><Relationship Id="rId31" Type="http://schemas.openxmlformats.org/officeDocument/2006/relationships/image" Target="../media/image14.emf"/><Relationship Id="rId44" Type="http://schemas.openxmlformats.org/officeDocument/2006/relationships/control" Target="../activeX/activeX21.xml"/><Relationship Id="rId52" Type="http://schemas.openxmlformats.org/officeDocument/2006/relationships/control" Target="../activeX/activeX25.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2.emf"/><Relationship Id="rId30" Type="http://schemas.openxmlformats.org/officeDocument/2006/relationships/control" Target="../activeX/activeX14.xml"/><Relationship Id="rId35" Type="http://schemas.openxmlformats.org/officeDocument/2006/relationships/image" Target="../media/image16.emf"/><Relationship Id="rId43" Type="http://schemas.openxmlformats.org/officeDocument/2006/relationships/image" Target="../media/image20.emf"/><Relationship Id="rId48" Type="http://schemas.openxmlformats.org/officeDocument/2006/relationships/control" Target="../activeX/activeX23.xml"/><Relationship Id="rId8" Type="http://schemas.openxmlformats.org/officeDocument/2006/relationships/control" Target="../activeX/activeX3.xml"/><Relationship Id="rId51" Type="http://schemas.openxmlformats.org/officeDocument/2006/relationships/image" Target="../media/image24.emf"/></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35"/>
  <sheetViews>
    <sheetView tabSelected="1" zoomScaleNormal="100" workbookViewId="0">
      <selection activeCell="T16" sqref="T16"/>
    </sheetView>
  </sheetViews>
  <sheetFormatPr defaultRowHeight="15"/>
  <cols>
    <col min="1" max="1" width="2.140625" customWidth="1"/>
    <col min="2" max="2" width="4" customWidth="1"/>
    <col min="3" max="3" width="15" customWidth="1"/>
    <col min="5" max="5" width="8.140625" customWidth="1"/>
    <col min="8" max="8" width="9.5703125" bestFit="1" customWidth="1"/>
    <col min="10" max="10" width="9.5703125" bestFit="1" customWidth="1"/>
    <col min="14" max="14" width="5.7109375" customWidth="1"/>
    <col min="15" max="15" width="5.28515625" customWidth="1"/>
    <col min="16" max="16" width="5.5703125" customWidth="1"/>
  </cols>
  <sheetData>
    <row r="2" spans="2:16">
      <c r="B2" s="479" t="s">
        <v>232</v>
      </c>
      <c r="C2" s="479"/>
      <c r="D2" s="479"/>
      <c r="E2" s="479"/>
      <c r="F2" s="479"/>
      <c r="G2" s="479"/>
      <c r="H2" s="479"/>
      <c r="I2" s="479"/>
      <c r="J2" s="479"/>
      <c r="K2" s="479"/>
      <c r="L2" s="479"/>
      <c r="M2" s="479"/>
      <c r="N2" s="479"/>
    </row>
    <row r="3" spans="2:16" ht="15.75" thickBot="1">
      <c r="B3" s="480" t="s">
        <v>233</v>
      </c>
      <c r="C3" s="480"/>
      <c r="D3" s="480"/>
      <c r="E3" s="480"/>
      <c r="F3" s="480"/>
      <c r="G3" s="480"/>
      <c r="H3" s="480"/>
      <c r="I3" s="480"/>
      <c r="J3" s="480"/>
      <c r="K3" s="480"/>
      <c r="L3" s="480"/>
      <c r="M3" s="480"/>
      <c r="N3" s="480"/>
    </row>
    <row r="4" spans="2:16" ht="15.6" customHeight="1">
      <c r="B4" s="481" t="s">
        <v>234</v>
      </c>
      <c r="C4" s="483" t="s">
        <v>235</v>
      </c>
      <c r="D4" s="483" t="s">
        <v>236</v>
      </c>
      <c r="E4" s="483" t="s">
        <v>237</v>
      </c>
      <c r="F4" s="483" t="s">
        <v>238</v>
      </c>
      <c r="G4" s="483" t="s">
        <v>239</v>
      </c>
      <c r="H4" s="483" t="s">
        <v>240</v>
      </c>
      <c r="I4" s="483" t="s">
        <v>241</v>
      </c>
      <c r="J4" s="483" t="s">
        <v>242</v>
      </c>
      <c r="K4" s="483" t="s">
        <v>243</v>
      </c>
      <c r="L4" s="483" t="s">
        <v>244</v>
      </c>
      <c r="M4" s="483" t="s">
        <v>245</v>
      </c>
      <c r="N4" s="486" t="s">
        <v>9</v>
      </c>
      <c r="O4" s="486"/>
      <c r="P4" s="487"/>
    </row>
    <row r="5" spans="2:16" ht="70.150000000000006" customHeight="1" thickBot="1">
      <c r="B5" s="482"/>
      <c r="C5" s="484"/>
      <c r="D5" s="485"/>
      <c r="E5" s="485"/>
      <c r="F5" s="485"/>
      <c r="G5" s="485"/>
      <c r="H5" s="485"/>
      <c r="I5" s="485"/>
      <c r="J5" s="485"/>
      <c r="K5" s="485"/>
      <c r="L5" s="485"/>
      <c r="M5" s="485"/>
      <c r="N5" s="284" t="s">
        <v>246</v>
      </c>
      <c r="O5" s="284" t="s">
        <v>247</v>
      </c>
      <c r="P5" s="285" t="s">
        <v>226</v>
      </c>
    </row>
    <row r="6" spans="2:16" ht="17.25" thickBot="1">
      <c r="B6" s="286">
        <v>1</v>
      </c>
      <c r="C6" s="287">
        <v>2</v>
      </c>
      <c r="D6" s="287">
        <v>3</v>
      </c>
      <c r="E6" s="287">
        <v>4</v>
      </c>
      <c r="F6" s="287">
        <v>5</v>
      </c>
      <c r="G6" s="287">
        <v>6</v>
      </c>
      <c r="H6" s="287">
        <v>7</v>
      </c>
      <c r="I6" s="287">
        <v>8</v>
      </c>
      <c r="J6" s="287">
        <v>9</v>
      </c>
      <c r="K6" s="287">
        <v>10</v>
      </c>
      <c r="L6" s="287">
        <v>11</v>
      </c>
      <c r="M6" s="288">
        <v>12</v>
      </c>
      <c r="N6" s="289">
        <v>13</v>
      </c>
      <c r="O6" s="290">
        <v>14</v>
      </c>
      <c r="P6" s="291">
        <v>15</v>
      </c>
    </row>
    <row r="7" spans="2:16" ht="16.5" thickBot="1">
      <c r="B7" s="292">
        <v>1</v>
      </c>
      <c r="C7" s="293" t="s">
        <v>248</v>
      </c>
      <c r="D7" s="294">
        <v>2500</v>
      </c>
      <c r="E7" s="295">
        <f>45</f>
        <v>45</v>
      </c>
      <c r="F7" s="295">
        <f>D7+E7</f>
        <v>2545</v>
      </c>
      <c r="G7" s="295"/>
      <c r="H7" s="296">
        <f>F7*2%</f>
        <v>50.9</v>
      </c>
      <c r="I7" s="296">
        <f>F7-H7</f>
        <v>2494.1</v>
      </c>
      <c r="J7" s="296">
        <f>I7*20%</f>
        <v>498.82</v>
      </c>
      <c r="K7" s="297">
        <f>45</f>
        <v>45</v>
      </c>
      <c r="L7" s="296">
        <f>H7+J7+K7</f>
        <v>594.72</v>
      </c>
      <c r="M7" s="296">
        <f>F7-L7</f>
        <v>1950.28</v>
      </c>
      <c r="N7" s="295"/>
      <c r="O7" s="295"/>
      <c r="P7" s="295"/>
    </row>
    <row r="8" spans="2:16" ht="16.5" thickBot="1">
      <c r="B8" s="292">
        <f>B7+1</f>
        <v>2</v>
      </c>
      <c r="C8" s="293" t="s">
        <v>249</v>
      </c>
      <c r="D8" s="298">
        <v>1500</v>
      </c>
      <c r="E8" s="295">
        <f>45</f>
        <v>45</v>
      </c>
      <c r="F8" s="172">
        <f t="shared" ref="F8:F13" si="0">D8+E8</f>
        <v>1545</v>
      </c>
      <c r="G8" s="172">
        <v>4050</v>
      </c>
      <c r="H8" s="299">
        <f t="shared" ref="H8:H12" si="1">F8*2%</f>
        <v>30.900000000000002</v>
      </c>
      <c r="I8" s="172">
        <v>0</v>
      </c>
      <c r="J8" s="172">
        <f t="shared" ref="J8:J13" si="2">I8*20%</f>
        <v>0</v>
      </c>
      <c r="K8" s="297">
        <f>45</f>
        <v>45</v>
      </c>
      <c r="L8" s="299">
        <f t="shared" ref="L8:L14" si="3">H8+J8+K8</f>
        <v>75.900000000000006</v>
      </c>
      <c r="M8" s="299">
        <f t="shared" ref="M8:M13" si="4">F8-L8</f>
        <v>1469.1</v>
      </c>
      <c r="N8" s="172"/>
      <c r="O8" s="172"/>
      <c r="P8" s="172"/>
    </row>
    <row r="9" spans="2:16" ht="16.5" thickBot="1">
      <c r="B9" s="292">
        <f t="shared" ref="B9:B13" si="5">B8+1</f>
        <v>3</v>
      </c>
      <c r="C9" s="293" t="s">
        <v>250</v>
      </c>
      <c r="D9" s="298">
        <v>1500</v>
      </c>
      <c r="E9" s="295">
        <f>45</f>
        <v>45</v>
      </c>
      <c r="F9" s="172">
        <f t="shared" si="0"/>
        <v>1545</v>
      </c>
      <c r="G9" s="172"/>
      <c r="H9" s="299">
        <f t="shared" si="1"/>
        <v>30.900000000000002</v>
      </c>
      <c r="I9" s="299">
        <f t="shared" ref="I9" si="6">F9+G9-H9-Q9</f>
        <v>1514.1</v>
      </c>
      <c r="J9" s="299">
        <f t="shared" si="2"/>
        <v>302.82</v>
      </c>
      <c r="K9" s="297">
        <f>45</f>
        <v>45</v>
      </c>
      <c r="L9" s="299">
        <f t="shared" si="3"/>
        <v>378.71999999999997</v>
      </c>
      <c r="M9" s="299">
        <f t="shared" si="4"/>
        <v>1166.28</v>
      </c>
      <c r="N9" s="172"/>
      <c r="O9" s="172"/>
      <c r="P9" s="172"/>
    </row>
    <row r="10" spans="2:16" ht="16.5" thickBot="1">
      <c r="B10" s="292">
        <f t="shared" si="5"/>
        <v>4</v>
      </c>
      <c r="C10" s="293" t="s">
        <v>251</v>
      </c>
      <c r="D10" s="298">
        <v>1500</v>
      </c>
      <c r="E10" s="295">
        <f>45+27</f>
        <v>72</v>
      </c>
      <c r="F10" s="172">
        <f t="shared" si="0"/>
        <v>1572</v>
      </c>
      <c r="G10" s="172">
        <v>22000</v>
      </c>
      <c r="H10" s="172">
        <f t="shared" si="1"/>
        <v>31.44</v>
      </c>
      <c r="I10" s="172">
        <f>F10-H10</f>
        <v>1540.56</v>
      </c>
      <c r="J10" s="299">
        <f t="shared" si="2"/>
        <v>308.11200000000002</v>
      </c>
      <c r="K10" s="297">
        <f>45</f>
        <v>45</v>
      </c>
      <c r="L10" s="299">
        <f t="shared" si="3"/>
        <v>384.55200000000002</v>
      </c>
      <c r="M10" s="299">
        <f t="shared" si="4"/>
        <v>1187.4479999999999</v>
      </c>
      <c r="N10" s="172"/>
      <c r="O10" s="172"/>
      <c r="P10" s="172"/>
    </row>
    <row r="11" spans="2:16" ht="16.5" thickBot="1">
      <c r="B11" s="292">
        <f t="shared" si="5"/>
        <v>5</v>
      </c>
      <c r="C11" s="293" t="s">
        <v>252</v>
      </c>
      <c r="D11" s="298">
        <v>1500</v>
      </c>
      <c r="E11" s="300">
        <f>'საშემოსავლო-სამუშაო რვეული'!H21+45</f>
        <v>13795</v>
      </c>
      <c r="F11" s="172">
        <f t="shared" si="0"/>
        <v>15295</v>
      </c>
      <c r="G11" s="172"/>
      <c r="H11" s="299">
        <f t="shared" si="1"/>
        <v>305.90000000000003</v>
      </c>
      <c r="I11" s="299">
        <f>F11-H11</f>
        <v>14989.1</v>
      </c>
      <c r="J11" s="299">
        <f t="shared" si="2"/>
        <v>2997.82</v>
      </c>
      <c r="K11" s="297">
        <f>45</f>
        <v>45</v>
      </c>
      <c r="L11" s="299">
        <f t="shared" si="3"/>
        <v>3348.7200000000003</v>
      </c>
      <c r="M11" s="299">
        <f t="shared" si="4"/>
        <v>11946.279999999999</v>
      </c>
      <c r="N11" s="172"/>
      <c r="O11" s="172"/>
      <c r="P11" s="172"/>
    </row>
    <row r="12" spans="2:16" ht="16.5" thickBot="1">
      <c r="B12" s="292">
        <f t="shared" si="5"/>
        <v>6</v>
      </c>
      <c r="C12" s="293" t="s">
        <v>253</v>
      </c>
      <c r="D12" s="298">
        <v>1000</v>
      </c>
      <c r="E12" s="295">
        <f>500+45</f>
        <v>545</v>
      </c>
      <c r="F12" s="301">
        <f t="shared" si="0"/>
        <v>1545</v>
      </c>
      <c r="G12" s="172">
        <v>4000</v>
      </c>
      <c r="H12" s="299">
        <f t="shared" si="1"/>
        <v>30.900000000000002</v>
      </c>
      <c r="I12" s="299">
        <f>F12-H12</f>
        <v>1514.1</v>
      </c>
      <c r="J12" s="299">
        <f t="shared" si="2"/>
        <v>302.82</v>
      </c>
      <c r="K12" s="297">
        <f>45</f>
        <v>45</v>
      </c>
      <c r="L12" s="299">
        <f t="shared" si="3"/>
        <v>378.71999999999997</v>
      </c>
      <c r="M12" s="299">
        <f t="shared" si="4"/>
        <v>1166.28</v>
      </c>
      <c r="N12" s="172"/>
      <c r="O12" s="172"/>
      <c r="P12" s="172"/>
    </row>
    <row r="13" spans="2:16" ht="16.5" thickBot="1">
      <c r="B13" s="292">
        <f t="shared" si="5"/>
        <v>7</v>
      </c>
      <c r="C13" s="302" t="s">
        <v>254</v>
      </c>
      <c r="D13" s="303">
        <v>1100</v>
      </c>
      <c r="E13" s="295">
        <f>1500+45</f>
        <v>1545</v>
      </c>
      <c r="F13" s="301">
        <f t="shared" si="0"/>
        <v>2645</v>
      </c>
      <c r="G13" s="304">
        <v>30000</v>
      </c>
      <c r="H13" s="304">
        <v>0</v>
      </c>
      <c r="I13" s="299">
        <f>F13-H13</f>
        <v>2645</v>
      </c>
      <c r="J13" s="305">
        <f t="shared" si="2"/>
        <v>529</v>
      </c>
      <c r="K13" s="304">
        <f>400+45</f>
        <v>445</v>
      </c>
      <c r="L13" s="305">
        <f t="shared" si="3"/>
        <v>974</v>
      </c>
      <c r="M13" s="305">
        <f t="shared" si="4"/>
        <v>1671</v>
      </c>
      <c r="N13" s="172"/>
      <c r="O13" s="172"/>
      <c r="P13" s="172"/>
    </row>
    <row r="14" spans="2:16" ht="15.75" thickBot="1">
      <c r="B14" s="306"/>
      <c r="C14" s="306" t="s">
        <v>96</v>
      </c>
      <c r="D14" s="307">
        <f>SUM(D7:D13)</f>
        <v>10600</v>
      </c>
      <c r="E14" s="308">
        <f>SUM(E7:E13)</f>
        <v>16092</v>
      </c>
      <c r="F14" s="309">
        <f>SUM(F7:F13)</f>
        <v>26692</v>
      </c>
      <c r="G14" s="308"/>
      <c r="H14" s="310">
        <f>SUM(H7:H13)</f>
        <v>480.94000000000005</v>
      </c>
      <c r="I14" s="311">
        <f>SUM(I7:I13)</f>
        <v>24696.959999999999</v>
      </c>
      <c r="J14" s="312">
        <f>SUM(J7:J13)</f>
        <v>4939.3919999999998</v>
      </c>
      <c r="K14" s="313">
        <f>SUM(K7:K13)</f>
        <v>715</v>
      </c>
      <c r="L14" s="310">
        <f t="shared" si="3"/>
        <v>6135.3320000000003</v>
      </c>
      <c r="M14" s="314">
        <f>SUM(M7:M13)</f>
        <v>20556.667999999998</v>
      </c>
      <c r="N14" s="185"/>
      <c r="O14" s="185"/>
      <c r="P14" s="185"/>
    </row>
    <row r="15" spans="2:16">
      <c r="B15" s="315"/>
      <c r="C15" s="315"/>
      <c r="D15" s="316"/>
      <c r="E15" s="275"/>
      <c r="F15" s="317"/>
      <c r="G15" s="275"/>
      <c r="H15" s="318"/>
      <c r="I15" s="319"/>
      <c r="J15" s="319"/>
      <c r="K15" s="320"/>
      <c r="L15" s="318"/>
      <c r="M15" s="321"/>
      <c r="N15" s="185"/>
      <c r="O15" s="185"/>
      <c r="P15" s="185"/>
    </row>
    <row r="16" spans="2:16" ht="47.25">
      <c r="C16" s="322" t="s">
        <v>255</v>
      </c>
      <c r="D16" s="323">
        <v>300</v>
      </c>
      <c r="E16" s="167"/>
      <c r="F16" s="167">
        <v>300</v>
      </c>
      <c r="G16" s="167"/>
      <c r="H16" s="167"/>
      <c r="I16" s="167">
        <v>300</v>
      </c>
      <c r="J16" s="167">
        <f>I16*20%</f>
        <v>60</v>
      </c>
      <c r="K16" s="167"/>
      <c r="L16" s="167">
        <f>J16</f>
        <v>60</v>
      </c>
      <c r="M16" s="324">
        <f>I16-L16</f>
        <v>240</v>
      </c>
      <c r="N16" s="325"/>
      <c r="O16" s="326"/>
      <c r="P16" s="326"/>
    </row>
    <row r="17" spans="3:16" s="328" customFormat="1" ht="34.9" customHeight="1">
      <c r="C17" s="327" t="s">
        <v>256</v>
      </c>
      <c r="D17" s="478" t="s">
        <v>257</v>
      </c>
      <c r="E17" s="478"/>
      <c r="F17" s="478"/>
      <c r="G17" s="478"/>
      <c r="H17" s="478"/>
      <c r="I17" s="478"/>
      <c r="J17" s="478"/>
      <c r="K17" s="478"/>
      <c r="L17" s="478"/>
      <c r="M17" s="478"/>
      <c r="N17" s="478"/>
      <c r="O17" s="478"/>
      <c r="P17" s="478"/>
    </row>
    <row r="19" spans="3:16">
      <c r="L19" s="185"/>
    </row>
    <row r="20" spans="3:16">
      <c r="H20" s="329">
        <v>0.2</v>
      </c>
      <c r="I20" s="329">
        <v>0.05</v>
      </c>
      <c r="J20" s="329">
        <v>0.1</v>
      </c>
      <c r="K20" s="329">
        <v>0.15</v>
      </c>
    </row>
    <row r="21" spans="3:16">
      <c r="C21" s="330" t="s">
        <v>258</v>
      </c>
      <c r="D21" s="331">
        <f>I14</f>
        <v>24696.959999999999</v>
      </c>
      <c r="E21" s="332">
        <v>0.2</v>
      </c>
      <c r="F21" s="333">
        <f>D21*E21</f>
        <v>4939.3919999999998</v>
      </c>
      <c r="G21" s="80"/>
      <c r="H21" s="333">
        <f>F21</f>
        <v>4939.3919999999998</v>
      </c>
      <c r="I21" s="80"/>
    </row>
    <row r="22" spans="3:16">
      <c r="C22" s="330" t="s">
        <v>259</v>
      </c>
      <c r="D22" s="331">
        <v>300</v>
      </c>
      <c r="E22" s="332">
        <v>0.2</v>
      </c>
      <c r="F22" s="333">
        <f>D22*E22</f>
        <v>60</v>
      </c>
      <c r="G22" s="80"/>
      <c r="H22" s="333">
        <f>F22</f>
        <v>60</v>
      </c>
      <c r="I22" s="80"/>
      <c r="M22" s="334">
        <f>D21+D22+D29</f>
        <v>27496.959999999999</v>
      </c>
    </row>
    <row r="23" spans="3:16">
      <c r="C23" s="330" t="s">
        <v>260</v>
      </c>
      <c r="D23" s="80"/>
      <c r="E23" s="80"/>
      <c r="F23" s="80"/>
      <c r="G23" s="80"/>
      <c r="H23" s="80"/>
      <c r="I23" s="80"/>
      <c r="M23" s="335"/>
    </row>
    <row r="24" spans="3:16" ht="24.75">
      <c r="C24" s="336" t="s">
        <v>261</v>
      </c>
      <c r="D24" s="337">
        <v>10000</v>
      </c>
      <c r="E24" s="338">
        <v>0.05</v>
      </c>
      <c r="F24" s="80">
        <f>D24*E24</f>
        <v>500</v>
      </c>
      <c r="G24" s="80"/>
      <c r="H24" s="80"/>
      <c r="I24" s="80">
        <f>F24</f>
        <v>500</v>
      </c>
      <c r="M24" s="339">
        <f>D24</f>
        <v>10000</v>
      </c>
    </row>
    <row r="25" spans="3:16" ht="36">
      <c r="C25" s="340" t="s">
        <v>262</v>
      </c>
      <c r="D25" s="341">
        <v>5000</v>
      </c>
      <c r="E25" s="342">
        <v>0.05</v>
      </c>
      <c r="F25" s="80">
        <f t="shared" ref="F25:F27" si="7">D25*E25</f>
        <v>250</v>
      </c>
      <c r="G25" s="80"/>
      <c r="H25" s="80"/>
      <c r="I25" s="80"/>
      <c r="K25">
        <f>F25</f>
        <v>250</v>
      </c>
      <c r="M25" s="343">
        <f>D25</f>
        <v>5000</v>
      </c>
    </row>
    <row r="26" spans="3:16" ht="25.5">
      <c r="C26" s="344" t="s">
        <v>263</v>
      </c>
      <c r="D26" s="345">
        <v>1700</v>
      </c>
      <c r="E26" s="346">
        <v>0.05</v>
      </c>
      <c r="F26" s="80">
        <f t="shared" si="7"/>
        <v>85</v>
      </c>
      <c r="G26" s="80"/>
      <c r="H26" s="80"/>
      <c r="I26" s="80">
        <f>F26</f>
        <v>85</v>
      </c>
      <c r="M26" s="347">
        <f>D26</f>
        <v>1700</v>
      </c>
    </row>
    <row r="27" spans="3:16">
      <c r="C27" s="348" t="s">
        <v>264</v>
      </c>
      <c r="D27" s="80">
        <v>2000</v>
      </c>
      <c r="E27" s="349">
        <v>0</v>
      </c>
      <c r="F27" s="80">
        <f t="shared" si="7"/>
        <v>0</v>
      </c>
      <c r="G27" s="80"/>
      <c r="H27" s="80"/>
      <c r="I27" s="80">
        <f>F27</f>
        <v>0</v>
      </c>
      <c r="M27">
        <v>2000</v>
      </c>
    </row>
    <row r="28" spans="3:16">
      <c r="C28" s="350" t="s">
        <v>259</v>
      </c>
      <c r="D28" s="80"/>
      <c r="E28" s="80"/>
      <c r="F28" s="80"/>
      <c r="G28" s="80"/>
      <c r="H28" s="80"/>
      <c r="I28" s="80"/>
    </row>
    <row r="29" spans="3:16" ht="24.75">
      <c r="C29" s="336" t="s">
        <v>265</v>
      </c>
      <c r="D29" s="351">
        <v>2500</v>
      </c>
      <c r="E29" s="332">
        <v>0.2</v>
      </c>
      <c r="F29" s="333">
        <f>D29*E29</f>
        <v>500</v>
      </c>
      <c r="G29" s="80"/>
      <c r="H29" s="333">
        <f>F29</f>
        <v>500</v>
      </c>
      <c r="I29" s="80"/>
      <c r="M29" s="352"/>
    </row>
    <row r="30" spans="3:16">
      <c r="C30" s="350" t="s">
        <v>266</v>
      </c>
      <c r="D30" s="80"/>
      <c r="E30" s="80"/>
      <c r="F30" s="333"/>
      <c r="G30" s="80"/>
      <c r="H30" s="80"/>
      <c r="I30" s="80"/>
    </row>
    <row r="31" spans="3:16">
      <c r="C31" s="348"/>
      <c r="D31" s="353">
        <v>14600</v>
      </c>
      <c r="E31" s="354">
        <v>0.1</v>
      </c>
      <c r="F31" s="355">
        <f t="shared" ref="F31" si="8">D31*E31</f>
        <v>1460</v>
      </c>
      <c r="G31" s="80"/>
      <c r="H31" s="80"/>
      <c r="I31" s="355"/>
      <c r="J31" s="356">
        <f>F31</f>
        <v>1460</v>
      </c>
      <c r="M31" s="357">
        <f>D31+D33</f>
        <v>30495</v>
      </c>
    </row>
    <row r="32" spans="3:16">
      <c r="C32" s="350" t="s">
        <v>267</v>
      </c>
      <c r="D32" s="80"/>
      <c r="E32" s="349"/>
      <c r="F32" s="80"/>
      <c r="G32" s="80"/>
      <c r="H32" s="80"/>
      <c r="I32" s="80"/>
    </row>
    <row r="33" spans="3:13" ht="24">
      <c r="C33" s="340" t="s">
        <v>268</v>
      </c>
      <c r="D33" s="353">
        <v>15895</v>
      </c>
      <c r="E33" s="354">
        <v>0.1</v>
      </c>
      <c r="F33" s="80">
        <f>D33*E33</f>
        <v>1589.5</v>
      </c>
      <c r="G33" s="80"/>
      <c r="H33" s="80"/>
      <c r="I33" s="80"/>
      <c r="J33">
        <f>F33</f>
        <v>1589.5</v>
      </c>
    </row>
    <row r="34" spans="3:13">
      <c r="C34" s="185"/>
      <c r="D34" s="80">
        <f>SUM(D21:D33)</f>
        <v>76691.959999999992</v>
      </c>
      <c r="E34" s="80"/>
      <c r="F34" s="358">
        <f>SUM(F21:F33)</f>
        <v>9383.8919999999998</v>
      </c>
      <c r="G34" s="80"/>
      <c r="H34" s="333">
        <f>SUM(H21:H33)</f>
        <v>5499.3919999999998</v>
      </c>
      <c r="I34" s="80">
        <f>SUM(I21:I33)</f>
        <v>585</v>
      </c>
      <c r="J34" s="80">
        <f t="shared" ref="J34:K34" si="9">SUM(J21:J33)</f>
        <v>3049.5</v>
      </c>
      <c r="K34" s="80">
        <f t="shared" si="9"/>
        <v>250</v>
      </c>
      <c r="M34" s="352">
        <f>SUM(M22:M33)</f>
        <v>76691.959999999992</v>
      </c>
    </row>
    <row r="35" spans="3:13">
      <c r="H35" s="352">
        <f>H34+I24</f>
        <v>5999.3919999999998</v>
      </c>
      <c r="I35">
        <f>I26+J34+K34</f>
        <v>3384.5</v>
      </c>
    </row>
  </sheetData>
  <mergeCells count="16">
    <mergeCell ref="D17:P17"/>
    <mergeCell ref="B2:N2"/>
    <mergeCell ref="B3:N3"/>
    <mergeCell ref="B4:B5"/>
    <mergeCell ref="C4:C5"/>
    <mergeCell ref="D4:D5"/>
    <mergeCell ref="E4:E5"/>
    <mergeCell ref="F4:F5"/>
    <mergeCell ref="G4:G5"/>
    <mergeCell ref="H4:H5"/>
    <mergeCell ref="I4:I5"/>
    <mergeCell ref="J4:J5"/>
    <mergeCell ref="K4:K5"/>
    <mergeCell ref="L4:L5"/>
    <mergeCell ref="M4:M5"/>
    <mergeCell ref="N4:P4"/>
  </mergeCells>
  <printOptions horizontalCentered="1"/>
  <pageMargins left="0.2" right="0.2" top="0.25" bottom="0.2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69"/>
  <sheetViews>
    <sheetView workbookViewId="0">
      <selection activeCell="K65" sqref="K65:K68"/>
    </sheetView>
  </sheetViews>
  <sheetFormatPr defaultRowHeight="15"/>
  <cols>
    <col min="1" max="1" width="3.7109375" customWidth="1"/>
    <col min="5" max="5" width="6.7109375" customWidth="1"/>
    <col min="6" max="6" width="7.28515625" customWidth="1"/>
    <col min="7" max="7" width="13.28515625" customWidth="1"/>
    <col min="8" max="8" width="11.5703125" customWidth="1"/>
    <col min="9" max="9" width="8" style="185" customWidth="1"/>
    <col min="10" max="10" width="10.42578125" customWidth="1"/>
    <col min="11" max="11" width="9.140625" style="81"/>
  </cols>
  <sheetData>
    <row r="1" spans="2:15" ht="15.75">
      <c r="B1" s="488" t="s">
        <v>269</v>
      </c>
      <c r="C1" s="488"/>
      <c r="D1" s="488"/>
      <c r="E1" s="488"/>
      <c r="F1" s="488"/>
      <c r="G1" s="488"/>
      <c r="H1" s="488"/>
      <c r="I1" s="488"/>
      <c r="J1" s="488"/>
    </row>
    <row r="2" spans="2:15" ht="15.75">
      <c r="B2" s="3"/>
      <c r="C2" s="488" t="s">
        <v>270</v>
      </c>
      <c r="D2" s="488"/>
      <c r="E2" s="488"/>
      <c r="F2" s="488"/>
      <c r="G2" s="488"/>
      <c r="H2" s="488"/>
      <c r="I2" s="488"/>
      <c r="J2" s="488"/>
    </row>
    <row r="3" spans="2:15">
      <c r="B3" s="2"/>
      <c r="C3" s="2"/>
      <c r="D3" s="2"/>
      <c r="E3" s="2"/>
      <c r="F3" s="2"/>
      <c r="G3" s="2"/>
      <c r="H3" s="2"/>
      <c r="I3" s="2"/>
      <c r="J3" s="2"/>
    </row>
    <row r="4" spans="2:15">
      <c r="B4" s="489" t="s">
        <v>2</v>
      </c>
      <c r="C4" s="489"/>
      <c r="D4" s="489"/>
      <c r="E4" s="489"/>
      <c r="F4" s="489"/>
      <c r="G4" s="489"/>
      <c r="H4" s="489"/>
      <c r="I4" s="489"/>
      <c r="J4" s="489"/>
    </row>
    <row r="6" spans="2:15" ht="34.5" customHeight="1">
      <c r="B6" s="490" t="s">
        <v>271</v>
      </c>
      <c r="C6" s="490"/>
      <c r="D6" s="490"/>
      <c r="E6" s="490"/>
      <c r="F6" s="490"/>
      <c r="G6" s="490"/>
      <c r="H6" s="490"/>
      <c r="I6" s="490"/>
      <c r="J6" s="490"/>
      <c r="K6" s="168"/>
      <c r="O6" s="352"/>
    </row>
    <row r="7" spans="2:15">
      <c r="B7" s="359"/>
      <c r="C7" s="359"/>
      <c r="D7" s="359"/>
      <c r="E7" s="359"/>
      <c r="F7" s="359"/>
      <c r="G7" s="359"/>
      <c r="H7" s="359"/>
      <c r="I7" s="359"/>
      <c r="J7" s="359"/>
      <c r="K7" s="168"/>
    </row>
    <row r="8" spans="2:15" ht="24">
      <c r="B8" s="491" t="s">
        <v>5</v>
      </c>
      <c r="C8" s="491"/>
      <c r="D8" s="491"/>
      <c r="E8" s="491"/>
      <c r="F8" s="491"/>
      <c r="G8" s="360" t="s">
        <v>6</v>
      </c>
      <c r="H8" s="360" t="s">
        <v>7</v>
      </c>
      <c r="I8" s="360" t="s">
        <v>8</v>
      </c>
      <c r="J8" s="361" t="s">
        <v>9</v>
      </c>
    </row>
    <row r="9" spans="2:15">
      <c r="B9" s="504">
        <v>500</v>
      </c>
      <c r="C9" s="505"/>
      <c r="D9" s="505"/>
      <c r="E9" s="505"/>
      <c r="F9" s="506"/>
      <c r="G9" s="360" t="s">
        <v>272</v>
      </c>
      <c r="H9" s="362">
        <v>500</v>
      </c>
      <c r="I9" s="507">
        <v>0.5</v>
      </c>
      <c r="J9" s="507"/>
      <c r="K9" s="492"/>
    </row>
    <row r="10" spans="2:15" ht="35.25" customHeight="1">
      <c r="B10" s="493" t="s">
        <v>273</v>
      </c>
      <c r="C10" s="493"/>
      <c r="D10" s="493"/>
      <c r="E10" s="493"/>
      <c r="F10" s="493"/>
      <c r="G10" s="363" t="s">
        <v>270</v>
      </c>
      <c r="H10" s="364">
        <f>(H9-10)*20%</f>
        <v>98</v>
      </c>
      <c r="I10" s="508"/>
      <c r="J10" s="508"/>
      <c r="K10" s="492"/>
    </row>
    <row r="11" spans="2:15" ht="23.25" customHeight="1">
      <c r="B11" s="365"/>
      <c r="C11" s="365"/>
      <c r="D11" s="365"/>
      <c r="E11" s="365"/>
      <c r="F11" s="365"/>
      <c r="G11" s="176"/>
      <c r="H11" s="366"/>
      <c r="I11" s="365"/>
      <c r="J11" s="365"/>
      <c r="K11" s="365"/>
    </row>
    <row r="12" spans="2:15" ht="21.75" customHeight="1">
      <c r="B12" s="494" t="s">
        <v>274</v>
      </c>
      <c r="C12" s="494"/>
      <c r="D12" s="494"/>
      <c r="E12" s="494"/>
      <c r="F12" s="494"/>
      <c r="G12" s="494"/>
      <c r="H12" s="494"/>
      <c r="I12" s="494"/>
      <c r="J12" s="494"/>
      <c r="K12" s="494"/>
    </row>
    <row r="13" spans="2:15" ht="24">
      <c r="B13" s="491" t="s">
        <v>5</v>
      </c>
      <c r="C13" s="491"/>
      <c r="D13" s="491"/>
      <c r="E13" s="491"/>
      <c r="F13" s="491"/>
      <c r="G13" s="360" t="s">
        <v>6</v>
      </c>
      <c r="H13" s="360" t="s">
        <v>7</v>
      </c>
      <c r="I13" s="360" t="s">
        <v>8</v>
      </c>
      <c r="J13" s="361" t="s">
        <v>9</v>
      </c>
    </row>
    <row r="14" spans="2:15">
      <c r="B14" s="495">
        <v>1500</v>
      </c>
      <c r="C14" s="496"/>
      <c r="D14" s="496"/>
      <c r="E14" s="496"/>
      <c r="F14" s="497"/>
      <c r="G14" s="360" t="s">
        <v>272</v>
      </c>
      <c r="H14" s="167">
        <v>1500</v>
      </c>
      <c r="I14" s="498">
        <v>0.5</v>
      </c>
      <c r="J14" s="174"/>
      <c r="K14" s="500"/>
    </row>
    <row r="15" spans="2:15" ht="24">
      <c r="B15" s="501" t="s">
        <v>275</v>
      </c>
      <c r="C15" s="502"/>
      <c r="D15" s="502"/>
      <c r="E15" s="502"/>
      <c r="F15" s="503"/>
      <c r="G15" s="363" t="s">
        <v>270</v>
      </c>
      <c r="H15" s="167">
        <f>H14*20%</f>
        <v>300</v>
      </c>
      <c r="I15" s="499"/>
      <c r="J15" s="174"/>
      <c r="K15" s="500"/>
    </row>
    <row r="16" spans="2:15">
      <c r="B16" s="495" t="s">
        <v>276</v>
      </c>
      <c r="C16" s="496"/>
      <c r="D16" s="496"/>
      <c r="E16" s="496"/>
      <c r="F16" s="497"/>
      <c r="G16" s="167" t="s">
        <v>277</v>
      </c>
      <c r="H16" s="167">
        <v>400</v>
      </c>
      <c r="I16" s="172">
        <v>0.5</v>
      </c>
      <c r="J16" s="174"/>
    </row>
    <row r="17" spans="2:16">
      <c r="B17" s="509"/>
      <c r="C17" s="509"/>
      <c r="D17" s="509"/>
      <c r="E17" s="509"/>
      <c r="F17" s="509"/>
      <c r="G17" s="276"/>
      <c r="H17" s="276"/>
      <c r="I17" s="275"/>
      <c r="J17" s="276"/>
    </row>
    <row r="18" spans="2:16" ht="33.75" customHeight="1">
      <c r="B18" s="510" t="s">
        <v>278</v>
      </c>
      <c r="C18" s="510"/>
      <c r="D18" s="510"/>
      <c r="E18" s="510"/>
      <c r="F18" s="510"/>
      <c r="G18" s="510"/>
      <c r="H18" s="510"/>
      <c r="I18" s="510"/>
      <c r="J18" s="510"/>
      <c r="K18" s="168"/>
    </row>
    <row r="20" spans="2:16" s="80" customFormat="1" ht="35.450000000000003" customHeight="1">
      <c r="B20" s="511" t="s">
        <v>5</v>
      </c>
      <c r="C20" s="511"/>
      <c r="D20" s="511"/>
      <c r="E20" s="511"/>
      <c r="F20" s="511"/>
      <c r="G20" s="367" t="s">
        <v>6</v>
      </c>
      <c r="H20" s="367" t="s">
        <v>7</v>
      </c>
      <c r="I20" s="367" t="s">
        <v>8</v>
      </c>
      <c r="J20" s="368" t="s">
        <v>9</v>
      </c>
      <c r="K20" s="81"/>
    </row>
    <row r="21" spans="2:16" ht="30" customHeight="1">
      <c r="B21" s="501" t="s">
        <v>279</v>
      </c>
      <c r="C21" s="502"/>
      <c r="D21" s="502"/>
      <c r="E21" s="502"/>
      <c r="F21" s="503"/>
      <c r="G21" s="367" t="s">
        <v>272</v>
      </c>
      <c r="H21" s="369">
        <f>10000/0.8+(10000*(20-10)%/0.8)</f>
        <v>13750</v>
      </c>
      <c r="I21" s="512">
        <v>0.5</v>
      </c>
      <c r="J21" s="512"/>
      <c r="K21" s="492"/>
      <c r="P21" s="80"/>
    </row>
    <row r="22" spans="2:16" ht="24" customHeight="1">
      <c r="B22" s="514" t="s">
        <v>280</v>
      </c>
      <c r="C22" s="514"/>
      <c r="D22" s="514"/>
      <c r="E22" s="514"/>
      <c r="F22" s="514"/>
      <c r="G22" s="20" t="s">
        <v>270</v>
      </c>
      <c r="H22" s="167">
        <f>H21*20%</f>
        <v>2750</v>
      </c>
      <c r="I22" s="513"/>
      <c r="J22" s="513"/>
      <c r="K22" s="492"/>
      <c r="P22" s="80"/>
    </row>
    <row r="24" spans="2:16" ht="49.5" customHeight="1">
      <c r="B24" s="515" t="s">
        <v>281</v>
      </c>
      <c r="C24" s="515"/>
      <c r="D24" s="515"/>
      <c r="E24" s="515"/>
      <c r="F24" s="515"/>
      <c r="G24" s="515"/>
      <c r="H24" s="515"/>
      <c r="I24" s="515"/>
      <c r="J24" s="515"/>
    </row>
    <row r="26" spans="2:16" ht="24">
      <c r="B26" s="511" t="s">
        <v>5</v>
      </c>
      <c r="C26" s="511"/>
      <c r="D26" s="511"/>
      <c r="E26" s="511"/>
      <c r="F26" s="511"/>
      <c r="G26" s="367" t="s">
        <v>6</v>
      </c>
      <c r="H26" s="367" t="s">
        <v>7</v>
      </c>
      <c r="I26" s="367" t="s">
        <v>8</v>
      </c>
      <c r="J26" s="368" t="s">
        <v>9</v>
      </c>
    </row>
    <row r="27" spans="2:16" ht="27.6" customHeight="1">
      <c r="B27" s="501">
        <v>45</v>
      </c>
      <c r="C27" s="502"/>
      <c r="D27" s="502"/>
      <c r="E27" s="502"/>
      <c r="F27" s="503"/>
      <c r="G27" s="367" t="s">
        <v>272</v>
      </c>
      <c r="H27" s="167">
        <v>45</v>
      </c>
      <c r="I27" s="514">
        <v>0.5</v>
      </c>
      <c r="J27" s="512"/>
      <c r="K27" s="500"/>
    </row>
    <row r="28" spans="2:16" ht="61.5" customHeight="1">
      <c r="B28" s="514" t="s">
        <v>282</v>
      </c>
      <c r="C28" s="514"/>
      <c r="D28" s="514"/>
      <c r="E28" s="514"/>
      <c r="F28" s="514"/>
      <c r="G28" s="20" t="s">
        <v>283</v>
      </c>
      <c r="H28" s="167">
        <f>(45-0.9)*20%</f>
        <v>8.82</v>
      </c>
      <c r="I28" s="514"/>
      <c r="J28" s="513"/>
      <c r="K28" s="500"/>
    </row>
    <row r="29" spans="2:16" ht="36" customHeight="1">
      <c r="B29" s="514" t="s">
        <v>284</v>
      </c>
      <c r="C29" s="514"/>
      <c r="D29" s="514"/>
      <c r="E29" s="514"/>
      <c r="F29" s="514"/>
      <c r="G29" s="20" t="s">
        <v>285</v>
      </c>
      <c r="H29" s="167">
        <f>45*20%</f>
        <v>9</v>
      </c>
      <c r="I29" s="370">
        <v>0.5</v>
      </c>
      <c r="J29" s="167"/>
      <c r="K29" s="500"/>
    </row>
    <row r="31" spans="2:16" ht="38.450000000000003" customHeight="1">
      <c r="B31" s="510" t="s">
        <v>286</v>
      </c>
      <c r="C31" s="510"/>
      <c r="D31" s="510"/>
      <c r="E31" s="510"/>
      <c r="F31" s="510"/>
      <c r="G31" s="510"/>
      <c r="H31" s="510"/>
      <c r="I31" s="510"/>
      <c r="J31" s="510"/>
    </row>
    <row r="32" spans="2:16" ht="24">
      <c r="B32" s="511" t="s">
        <v>5</v>
      </c>
      <c r="C32" s="511"/>
      <c r="D32" s="511"/>
      <c r="E32" s="511"/>
      <c r="F32" s="511"/>
      <c r="G32" s="367" t="s">
        <v>6</v>
      </c>
      <c r="H32" s="367" t="s">
        <v>7</v>
      </c>
      <c r="I32" s="367" t="s">
        <v>8</v>
      </c>
      <c r="J32" s="368" t="s">
        <v>9</v>
      </c>
    </row>
    <row r="33" spans="2:12" ht="36.6" customHeight="1">
      <c r="B33" s="516" t="s">
        <v>287</v>
      </c>
      <c r="C33" s="517"/>
      <c r="D33" s="517"/>
      <c r="E33" s="517"/>
      <c r="F33" s="518"/>
      <c r="G33" s="20" t="s">
        <v>288</v>
      </c>
      <c r="H33" s="367"/>
      <c r="I33" s="367"/>
      <c r="J33" s="368"/>
    </row>
    <row r="34" spans="2:12" ht="36.6" customHeight="1">
      <c r="B34" s="519" t="s">
        <v>289</v>
      </c>
      <c r="C34" s="520"/>
      <c r="D34" s="520"/>
      <c r="E34" s="520"/>
      <c r="F34" s="521"/>
      <c r="G34" s="20" t="s">
        <v>290</v>
      </c>
      <c r="H34" s="367">
        <v>300</v>
      </c>
      <c r="I34" s="522">
        <v>0.5</v>
      </c>
      <c r="J34" s="524"/>
      <c r="K34" s="500"/>
    </row>
    <row r="35" spans="2:12" ht="36.6" customHeight="1">
      <c r="B35" s="519" t="s">
        <v>291</v>
      </c>
      <c r="C35" s="520"/>
      <c r="D35" s="520"/>
      <c r="E35" s="520"/>
      <c r="F35" s="521"/>
      <c r="G35" s="20" t="s">
        <v>270</v>
      </c>
      <c r="H35" s="367">
        <f>H34*20%</f>
        <v>60</v>
      </c>
      <c r="I35" s="523"/>
      <c r="J35" s="525"/>
      <c r="K35" s="500"/>
    </row>
    <row r="36" spans="2:12" ht="43.5" customHeight="1">
      <c r="B36" s="519" t="s">
        <v>292</v>
      </c>
      <c r="C36" s="520"/>
      <c r="D36" s="520"/>
      <c r="E36" s="520"/>
      <c r="F36" s="521"/>
      <c r="G36" s="20" t="s">
        <v>293</v>
      </c>
      <c r="H36" s="167">
        <f>(120*6*2.7)+(45*6*2.7)</f>
        <v>2673</v>
      </c>
      <c r="I36" s="512">
        <v>0.5</v>
      </c>
      <c r="J36" s="512"/>
      <c r="K36" s="500"/>
    </row>
    <row r="37" spans="2:12" ht="33.6" customHeight="1">
      <c r="B37" s="519" t="s">
        <v>294</v>
      </c>
      <c r="C37" s="520"/>
      <c r="D37" s="520"/>
      <c r="E37" s="520"/>
      <c r="F37" s="521"/>
      <c r="G37" s="367" t="s">
        <v>272</v>
      </c>
      <c r="H37" s="167">
        <f>3000-300-2673</f>
        <v>27</v>
      </c>
      <c r="I37" s="530"/>
      <c r="J37" s="530"/>
      <c r="K37" s="500"/>
    </row>
    <row r="38" spans="2:12" ht="35.450000000000003" customHeight="1">
      <c r="B38" s="514" t="s">
        <v>295</v>
      </c>
      <c r="C38" s="514"/>
      <c r="D38" s="514"/>
      <c r="E38" s="514"/>
      <c r="F38" s="514"/>
      <c r="G38" s="20" t="s">
        <v>270</v>
      </c>
      <c r="H38" s="180">
        <f>(27-0.54)*20%</f>
        <v>5.2920000000000007</v>
      </c>
      <c r="I38" s="513"/>
      <c r="J38" s="513"/>
      <c r="K38" s="500"/>
    </row>
    <row r="40" spans="2:12">
      <c r="B40" s="531" t="s">
        <v>296</v>
      </c>
      <c r="C40" s="531"/>
      <c r="D40" s="531"/>
      <c r="E40" s="531"/>
      <c r="F40" s="531"/>
    </row>
    <row r="41" spans="2:12" ht="15.75" thickBot="1"/>
    <row r="42" spans="2:12" ht="31.15" customHeight="1" thickBot="1">
      <c r="B42" s="532" t="s">
        <v>5</v>
      </c>
      <c r="C42" s="533"/>
      <c r="D42" s="533"/>
      <c r="E42" s="533"/>
      <c r="F42" s="533"/>
      <c r="G42" s="371" t="s">
        <v>6</v>
      </c>
      <c r="H42" s="371" t="s">
        <v>7</v>
      </c>
      <c r="I42" s="371" t="s">
        <v>8</v>
      </c>
      <c r="J42" s="372" t="s">
        <v>9</v>
      </c>
    </row>
    <row r="43" spans="2:12" ht="28.9" customHeight="1">
      <c r="B43" s="534">
        <v>10000</v>
      </c>
      <c r="C43" s="535"/>
      <c r="D43" s="535"/>
      <c r="E43" s="535"/>
      <c r="F43" s="536"/>
      <c r="G43" s="373" t="s">
        <v>261</v>
      </c>
      <c r="H43" s="374">
        <v>10000</v>
      </c>
      <c r="I43" s="537">
        <v>0.5</v>
      </c>
      <c r="J43" s="538"/>
      <c r="K43" s="526"/>
      <c r="L43" s="80"/>
    </row>
    <row r="44" spans="2:12" ht="27" customHeight="1" thickBot="1">
      <c r="B44" s="527" t="s">
        <v>297</v>
      </c>
      <c r="C44" s="528"/>
      <c r="D44" s="528"/>
      <c r="E44" s="528"/>
      <c r="F44" s="529"/>
      <c r="G44" s="11" t="s">
        <v>270</v>
      </c>
      <c r="H44" s="280">
        <f>H43*5%</f>
        <v>500</v>
      </c>
      <c r="I44" s="530"/>
      <c r="J44" s="539"/>
      <c r="K44" s="526"/>
    </row>
    <row r="45" spans="2:12" ht="53.25" customHeight="1" thickBot="1">
      <c r="B45" s="541">
        <v>5000</v>
      </c>
      <c r="C45" s="542"/>
      <c r="D45" s="542"/>
      <c r="E45" s="542"/>
      <c r="F45" s="542"/>
      <c r="G45" s="373" t="s">
        <v>298</v>
      </c>
      <c r="H45" s="375">
        <v>5000</v>
      </c>
      <c r="I45" s="542">
        <v>0.5</v>
      </c>
      <c r="J45" s="544"/>
      <c r="K45" s="526"/>
      <c r="L45" s="376"/>
    </row>
    <row r="46" spans="2:12" ht="39" customHeight="1" thickBot="1">
      <c r="B46" s="541" t="s">
        <v>299</v>
      </c>
      <c r="C46" s="542"/>
      <c r="D46" s="542"/>
      <c r="E46" s="542"/>
      <c r="F46" s="542"/>
      <c r="G46" s="377" t="s">
        <v>270</v>
      </c>
      <c r="H46" s="378">
        <f>H45*5%</f>
        <v>250</v>
      </c>
      <c r="I46" s="543"/>
      <c r="J46" s="545"/>
      <c r="K46" s="526"/>
    </row>
    <row r="47" spans="2:12">
      <c r="B47" s="546">
        <v>1700</v>
      </c>
      <c r="C47" s="513"/>
      <c r="D47" s="513"/>
      <c r="E47" s="513"/>
      <c r="F47" s="513"/>
      <c r="G47" s="379" t="s">
        <v>300</v>
      </c>
      <c r="H47" s="380">
        <v>1700</v>
      </c>
      <c r="I47" s="547">
        <v>0.5</v>
      </c>
      <c r="J47" s="549"/>
      <c r="K47" s="526"/>
    </row>
    <row r="48" spans="2:12" ht="35.450000000000003" customHeight="1" thickBot="1">
      <c r="B48" s="551" t="s">
        <v>301</v>
      </c>
      <c r="C48" s="512"/>
      <c r="D48" s="512"/>
      <c r="E48" s="512"/>
      <c r="F48" s="512"/>
      <c r="G48" s="11" t="s">
        <v>270</v>
      </c>
      <c r="H48" s="381">
        <f>H47*5%</f>
        <v>85</v>
      </c>
      <c r="I48" s="548"/>
      <c r="J48" s="550"/>
      <c r="K48" s="526"/>
    </row>
    <row r="49" spans="2:16" ht="24">
      <c r="B49" s="541">
        <v>2000</v>
      </c>
      <c r="C49" s="542"/>
      <c r="D49" s="542"/>
      <c r="E49" s="542"/>
      <c r="F49" s="542"/>
      <c r="G49" s="373" t="s">
        <v>264</v>
      </c>
      <c r="H49" s="375">
        <v>2000</v>
      </c>
      <c r="I49" s="552">
        <v>0.5</v>
      </c>
      <c r="J49" s="549"/>
      <c r="K49" s="526"/>
    </row>
    <row r="50" spans="2:16" ht="35.450000000000003" customHeight="1" thickBot="1">
      <c r="B50" s="554" t="s">
        <v>302</v>
      </c>
      <c r="C50" s="543"/>
      <c r="D50" s="543"/>
      <c r="E50" s="543"/>
      <c r="F50" s="543"/>
      <c r="G50" s="377" t="s">
        <v>270</v>
      </c>
      <c r="H50" s="378">
        <f>H49*0%</f>
        <v>0</v>
      </c>
      <c r="I50" s="553"/>
      <c r="J50" s="550"/>
      <c r="K50" s="526"/>
    </row>
    <row r="52" spans="2:16" ht="34.9" customHeight="1">
      <c r="B52" s="540" t="s">
        <v>303</v>
      </c>
      <c r="C52" s="540"/>
      <c r="D52" s="540"/>
      <c r="E52" s="540"/>
      <c r="F52" s="540"/>
      <c r="G52" s="540"/>
      <c r="H52" s="540"/>
      <c r="I52" s="540"/>
      <c r="J52" s="540"/>
    </row>
    <row r="53" spans="2:16" ht="24">
      <c r="B53" s="511" t="s">
        <v>5</v>
      </c>
      <c r="C53" s="511"/>
      <c r="D53" s="511"/>
      <c r="E53" s="511"/>
      <c r="F53" s="511"/>
      <c r="G53" s="367" t="s">
        <v>6</v>
      </c>
      <c r="H53" s="367" t="s">
        <v>7</v>
      </c>
      <c r="I53" s="367" t="s">
        <v>8</v>
      </c>
      <c r="J53" s="368" t="s">
        <v>9</v>
      </c>
    </row>
    <row r="54" spans="2:16">
      <c r="B54" s="514" t="s">
        <v>304</v>
      </c>
      <c r="C54" s="514"/>
      <c r="D54" s="514"/>
      <c r="E54" s="514"/>
      <c r="F54" s="514"/>
      <c r="G54" s="367" t="s">
        <v>272</v>
      </c>
      <c r="H54" s="180">
        <f>2000/0.98/0.8</f>
        <v>2551.0204081632651</v>
      </c>
      <c r="I54" s="514">
        <v>0.5</v>
      </c>
      <c r="J54" s="514"/>
      <c r="K54" s="500"/>
    </row>
    <row r="55" spans="2:16" ht="39.75" customHeight="1">
      <c r="B55" s="514" t="s">
        <v>305</v>
      </c>
      <c r="C55" s="514"/>
      <c r="D55" s="514"/>
      <c r="E55" s="514"/>
      <c r="F55" s="514"/>
      <c r="G55" s="20" t="s">
        <v>306</v>
      </c>
      <c r="H55" s="180">
        <f>H54*2%</f>
        <v>51.020408163265301</v>
      </c>
      <c r="I55" s="514"/>
      <c r="J55" s="514"/>
      <c r="K55" s="500"/>
      <c r="M55" s="352"/>
    </row>
    <row r="56" spans="2:16" ht="36" customHeight="1">
      <c r="B56" s="514" t="s">
        <v>307</v>
      </c>
      <c r="C56" s="514"/>
      <c r="D56" s="514"/>
      <c r="E56" s="514"/>
      <c r="F56" s="514"/>
      <c r="G56" s="382" t="s">
        <v>270</v>
      </c>
      <c r="H56" s="167">
        <f>(H54-H55)*20%</f>
        <v>500</v>
      </c>
      <c r="I56" s="514"/>
      <c r="J56" s="514"/>
      <c r="K56" s="500"/>
    </row>
    <row r="57" spans="2:16" ht="33" customHeight="1">
      <c r="B57" s="540" t="s">
        <v>308</v>
      </c>
      <c r="C57" s="540"/>
      <c r="D57" s="540"/>
      <c r="E57" s="540"/>
      <c r="F57" s="540"/>
      <c r="G57" s="540"/>
      <c r="H57" s="540"/>
      <c r="I57" s="540"/>
      <c r="J57" s="540"/>
    </row>
    <row r="59" spans="2:16" ht="24">
      <c r="B59" s="511" t="s">
        <v>5</v>
      </c>
      <c r="C59" s="511"/>
      <c r="D59" s="511"/>
      <c r="E59" s="511"/>
      <c r="F59" s="511"/>
      <c r="G59" s="367" t="s">
        <v>6</v>
      </c>
      <c r="H59" s="367" t="s">
        <v>7</v>
      </c>
      <c r="I59" s="367" t="s">
        <v>8</v>
      </c>
      <c r="J59" s="368" t="s">
        <v>9</v>
      </c>
    </row>
    <row r="60" spans="2:16">
      <c r="B60" s="514" t="s">
        <v>309</v>
      </c>
      <c r="C60" s="514"/>
      <c r="D60" s="514"/>
      <c r="E60" s="514"/>
      <c r="F60" s="514"/>
      <c r="G60" s="367" t="s">
        <v>272</v>
      </c>
      <c r="H60" s="167">
        <f>5000*2.92</f>
        <v>14600</v>
      </c>
      <c r="I60" s="514">
        <v>0.5</v>
      </c>
      <c r="J60" s="514"/>
      <c r="K60" s="500"/>
      <c r="P60" s="329"/>
    </row>
    <row r="61" spans="2:16" ht="24" customHeight="1">
      <c r="B61" s="514" t="s">
        <v>310</v>
      </c>
      <c r="C61" s="514"/>
      <c r="D61" s="514"/>
      <c r="E61" s="514"/>
      <c r="F61" s="514"/>
      <c r="G61" s="20" t="s">
        <v>270</v>
      </c>
      <c r="H61" s="167">
        <f>H60*10%</f>
        <v>1460</v>
      </c>
      <c r="I61" s="514"/>
      <c r="J61" s="514"/>
      <c r="K61" s="500"/>
    </row>
    <row r="63" spans="2:16" ht="46.5" customHeight="1">
      <c r="B63" s="540" t="s">
        <v>311</v>
      </c>
      <c r="C63" s="540"/>
      <c r="D63" s="540"/>
      <c r="E63" s="540"/>
      <c r="F63" s="540"/>
      <c r="G63" s="540"/>
      <c r="H63" s="540"/>
      <c r="I63" s="540"/>
      <c r="J63" s="540"/>
      <c r="O63" s="356"/>
    </row>
    <row r="64" spans="2:16" ht="24">
      <c r="B64" s="511" t="s">
        <v>5</v>
      </c>
      <c r="C64" s="511"/>
      <c r="D64" s="511"/>
      <c r="E64" s="511"/>
      <c r="F64" s="511"/>
      <c r="G64" s="367" t="s">
        <v>6</v>
      </c>
      <c r="H64" s="367" t="s">
        <v>7</v>
      </c>
      <c r="I64" s="367" t="s">
        <v>8</v>
      </c>
      <c r="J64" s="368" t="s">
        <v>9</v>
      </c>
      <c r="P64" t="s">
        <v>312</v>
      </c>
    </row>
    <row r="65" spans="2:17">
      <c r="B65" s="501" t="s">
        <v>313</v>
      </c>
      <c r="C65" s="502"/>
      <c r="D65" s="502"/>
      <c r="E65" s="502"/>
      <c r="F65" s="503"/>
      <c r="G65" s="367" t="s">
        <v>272</v>
      </c>
      <c r="H65" s="383">
        <f>8500/0.9*1.7</f>
        <v>16055.555555555553</v>
      </c>
      <c r="I65" s="514">
        <v>0.5</v>
      </c>
      <c r="J65" s="514"/>
      <c r="K65" s="500"/>
    </row>
    <row r="66" spans="2:17" ht="26.45" customHeight="1">
      <c r="B66" s="555" t="s">
        <v>314</v>
      </c>
      <c r="C66" s="556"/>
      <c r="D66" s="556"/>
      <c r="E66" s="556"/>
      <c r="F66" s="557"/>
      <c r="G66" s="384" t="s">
        <v>270</v>
      </c>
      <c r="H66" s="27">
        <f>H65*10%</f>
        <v>1605.5555555555554</v>
      </c>
      <c r="I66" s="514"/>
      <c r="J66" s="514"/>
      <c r="K66" s="500"/>
      <c r="M66" s="356"/>
    </row>
    <row r="67" spans="2:17">
      <c r="M67" s="352"/>
    </row>
    <row r="68" spans="2:17">
      <c r="M68" s="356"/>
    </row>
    <row r="69" spans="2:17">
      <c r="M69" s="356"/>
      <c r="Q69" s="352"/>
    </row>
  </sheetData>
  <mergeCells count="91">
    <mergeCell ref="K65:K66"/>
    <mergeCell ref="B66:F66"/>
    <mergeCell ref="B57:J57"/>
    <mergeCell ref="B59:F59"/>
    <mergeCell ref="B60:F60"/>
    <mergeCell ref="I60:I61"/>
    <mergeCell ref="J60:J61"/>
    <mergeCell ref="K60:K61"/>
    <mergeCell ref="B61:F61"/>
    <mergeCell ref="B63:J63"/>
    <mergeCell ref="B64:F64"/>
    <mergeCell ref="B65:F65"/>
    <mergeCell ref="I65:I66"/>
    <mergeCell ref="J65:J66"/>
    <mergeCell ref="B53:F53"/>
    <mergeCell ref="B54:F54"/>
    <mergeCell ref="I54:I56"/>
    <mergeCell ref="J54:J56"/>
    <mergeCell ref="K54:K56"/>
    <mergeCell ref="B55:F55"/>
    <mergeCell ref="B56:F56"/>
    <mergeCell ref="B52:J52"/>
    <mergeCell ref="B45:F45"/>
    <mergeCell ref="I45:I46"/>
    <mergeCell ref="J45:J46"/>
    <mergeCell ref="K45:K46"/>
    <mergeCell ref="B46:F46"/>
    <mergeCell ref="B47:F47"/>
    <mergeCell ref="I47:I48"/>
    <mergeCell ref="J47:J48"/>
    <mergeCell ref="K47:K48"/>
    <mergeCell ref="B48:F48"/>
    <mergeCell ref="B49:F49"/>
    <mergeCell ref="I49:I50"/>
    <mergeCell ref="J49:J50"/>
    <mergeCell ref="K49:K50"/>
    <mergeCell ref="B50:F50"/>
    <mergeCell ref="K43:K44"/>
    <mergeCell ref="B44:F44"/>
    <mergeCell ref="K34:K35"/>
    <mergeCell ref="B35:F35"/>
    <mergeCell ref="B36:F36"/>
    <mergeCell ref="I36:I38"/>
    <mergeCell ref="J36:J38"/>
    <mergeCell ref="K36:K38"/>
    <mergeCell ref="B37:F37"/>
    <mergeCell ref="B38:F38"/>
    <mergeCell ref="B40:F40"/>
    <mergeCell ref="B42:F42"/>
    <mergeCell ref="B43:F43"/>
    <mergeCell ref="I43:I44"/>
    <mergeCell ref="J43:J44"/>
    <mergeCell ref="B31:J31"/>
    <mergeCell ref="B32:F32"/>
    <mergeCell ref="B33:F33"/>
    <mergeCell ref="B34:F34"/>
    <mergeCell ref="I34:I35"/>
    <mergeCell ref="J34:J35"/>
    <mergeCell ref="K21:K22"/>
    <mergeCell ref="B22:F22"/>
    <mergeCell ref="B24:J24"/>
    <mergeCell ref="B26:F26"/>
    <mergeCell ref="B27:F27"/>
    <mergeCell ref="I27:I28"/>
    <mergeCell ref="J27:J28"/>
    <mergeCell ref="K27:K29"/>
    <mergeCell ref="B28:F28"/>
    <mergeCell ref="B29:F29"/>
    <mergeCell ref="B16:F16"/>
    <mergeCell ref="B17:F17"/>
    <mergeCell ref="B18:J18"/>
    <mergeCell ref="B20:F20"/>
    <mergeCell ref="B21:F21"/>
    <mergeCell ref="I21:I22"/>
    <mergeCell ref="J21:J22"/>
    <mergeCell ref="K9:K10"/>
    <mergeCell ref="B10:F10"/>
    <mergeCell ref="B12:K12"/>
    <mergeCell ref="B13:F13"/>
    <mergeCell ref="B14:F14"/>
    <mergeCell ref="I14:I15"/>
    <mergeCell ref="K14:K15"/>
    <mergeCell ref="B15:F15"/>
    <mergeCell ref="B9:F9"/>
    <mergeCell ref="I9:I10"/>
    <mergeCell ref="J9:J10"/>
    <mergeCell ref="B1:J1"/>
    <mergeCell ref="C2:J2"/>
    <mergeCell ref="B4:J4"/>
    <mergeCell ref="B6:J6"/>
    <mergeCell ref="B8:F8"/>
  </mergeCells>
  <printOptions horizontalCentered="1"/>
  <pageMargins left="0.45" right="0.2" top="0.25" bottom="0.2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9"/>
  <sheetViews>
    <sheetView workbookViewId="0">
      <selection activeCell="D62" sqref="C62:I71"/>
    </sheetView>
  </sheetViews>
  <sheetFormatPr defaultRowHeight="15"/>
  <cols>
    <col min="1" max="1" width="11.140625" style="386" customWidth="1"/>
    <col min="2" max="3" width="9.140625" style="386"/>
    <col min="4" max="4" width="31.28515625" style="386" customWidth="1"/>
    <col min="5" max="5" width="4.28515625" style="387" customWidth="1"/>
    <col min="6" max="7" width="11.28515625" style="386" customWidth="1"/>
    <col min="8" max="8" width="4.42578125" style="387" customWidth="1"/>
    <col min="9" max="9" width="7.7109375" style="386" customWidth="1"/>
    <col min="10" max="10" width="9.140625" style="386"/>
    <col min="11" max="11" width="29.85546875" style="388" customWidth="1"/>
    <col min="12" max="16384" width="9.140625" style="386"/>
  </cols>
  <sheetData>
    <row r="1" spans="1:14" ht="18">
      <c r="A1" s="385" t="s">
        <v>315</v>
      </c>
    </row>
    <row r="2" spans="1:14">
      <c r="A2" s="389" t="s">
        <v>32</v>
      </c>
    </row>
    <row r="3" spans="1:14" ht="15.75" thickBot="1">
      <c r="A3" s="566" t="s">
        <v>316</v>
      </c>
      <c r="B3" s="566"/>
      <c r="C3" s="566"/>
      <c r="D3" s="566"/>
    </row>
    <row r="4" spans="1:14" ht="16.149999999999999" customHeight="1">
      <c r="A4" s="567" t="s">
        <v>32</v>
      </c>
      <c r="B4" s="567"/>
      <c r="C4" s="567"/>
      <c r="D4" s="567"/>
      <c r="E4" s="568"/>
      <c r="F4" s="390" t="s">
        <v>317</v>
      </c>
      <c r="G4" s="571" t="s">
        <v>318</v>
      </c>
      <c r="H4" s="573" t="s">
        <v>8</v>
      </c>
      <c r="I4" s="574" t="s">
        <v>9</v>
      </c>
    </row>
    <row r="5" spans="1:14" ht="19.5" customHeight="1" thickBot="1">
      <c r="A5" s="569"/>
      <c r="B5" s="569"/>
      <c r="C5" s="569"/>
      <c r="D5" s="569"/>
      <c r="E5" s="570"/>
      <c r="F5" s="391" t="s">
        <v>319</v>
      </c>
      <c r="G5" s="572"/>
      <c r="H5" s="573"/>
      <c r="I5" s="574"/>
    </row>
    <row r="6" spans="1:14" ht="50.25" customHeight="1" thickBot="1">
      <c r="A6" s="558" t="s">
        <v>320</v>
      </c>
      <c r="B6" s="559"/>
      <c r="C6" s="559"/>
      <c r="D6" s="560"/>
      <c r="E6" s="392">
        <v>16</v>
      </c>
      <c r="F6" s="393">
        <f>'საშემოსავლო-ხელფასის უწყისი'!F14</f>
        <v>26692</v>
      </c>
      <c r="G6" s="394"/>
      <c r="H6" s="561">
        <v>0.5</v>
      </c>
      <c r="I6" s="395"/>
      <c r="J6" s="396"/>
    </row>
    <row r="7" spans="1:14" ht="31.15" customHeight="1" thickBot="1">
      <c r="A7" s="563" t="s">
        <v>321</v>
      </c>
      <c r="B7" s="564"/>
      <c r="C7" s="564"/>
      <c r="D7" s="565"/>
      <c r="E7" s="392">
        <v>17</v>
      </c>
      <c r="F7" s="393">
        <f>'საშემოსავლო-ხელფასის უწყისი'!I14</f>
        <v>24696.959999999999</v>
      </c>
      <c r="G7" s="397">
        <f>'საშემოსავლო-ხელფასის უწყისი'!J14</f>
        <v>4939.3919999999998</v>
      </c>
      <c r="H7" s="562"/>
      <c r="I7" s="395"/>
      <c r="J7" s="396"/>
      <c r="K7" s="398"/>
    </row>
    <row r="8" spans="1:14" ht="19.149999999999999" customHeight="1" thickBot="1">
      <c r="A8" s="575" t="s">
        <v>322</v>
      </c>
      <c r="B8" s="576"/>
      <c r="C8" s="576"/>
      <c r="D8" s="577"/>
      <c r="E8" s="399">
        <v>18</v>
      </c>
      <c r="F8" s="400"/>
      <c r="G8" s="401"/>
      <c r="H8" s="54"/>
      <c r="I8" s="395"/>
      <c r="J8" s="396"/>
    </row>
    <row r="9" spans="1:14" ht="27" customHeight="1" thickBot="1">
      <c r="A9" s="578" t="s">
        <v>323</v>
      </c>
      <c r="B9" s="579"/>
      <c r="C9" s="580"/>
      <c r="D9" s="402" t="s">
        <v>324</v>
      </c>
      <c r="E9" s="403">
        <v>19</v>
      </c>
      <c r="F9" s="404">
        <f>'საშემოსავლო-ხელფასის უწყისი'!D16+2500</f>
        <v>2800</v>
      </c>
      <c r="G9" s="405">
        <f>'საშემოსავლო-ხელფასის უწყისი'!J16+'საშემოსავლო-სამუშაო რვეული'!H56</f>
        <v>560</v>
      </c>
      <c r="H9" s="584">
        <v>0.5</v>
      </c>
      <c r="I9" s="395"/>
      <c r="J9" s="396"/>
      <c r="K9" s="398"/>
    </row>
    <row r="10" spans="1:14" ht="41.45" customHeight="1" thickBot="1">
      <c r="A10" s="581"/>
      <c r="B10" s="582"/>
      <c r="C10" s="583"/>
      <c r="D10" s="406" t="s">
        <v>325</v>
      </c>
      <c r="E10" s="392">
        <v>20</v>
      </c>
      <c r="F10" s="407"/>
      <c r="G10" s="397"/>
      <c r="H10" s="585"/>
      <c r="I10" s="408"/>
      <c r="J10" s="409"/>
      <c r="K10" s="410"/>
      <c r="L10" s="409"/>
      <c r="M10" s="409"/>
      <c r="N10" s="409"/>
    </row>
    <row r="11" spans="1:14" ht="51" customHeight="1" thickBot="1">
      <c r="A11" s="586" t="s">
        <v>326</v>
      </c>
      <c r="B11" s="587"/>
      <c r="C11" s="587"/>
      <c r="D11" s="588"/>
      <c r="E11" s="411">
        <v>21</v>
      </c>
      <c r="F11" s="412"/>
      <c r="G11" s="413"/>
      <c r="H11" s="54"/>
      <c r="I11" s="395"/>
      <c r="K11" s="414"/>
    </row>
    <row r="12" spans="1:14" ht="24" customHeight="1" thickBot="1">
      <c r="A12" s="563" t="s">
        <v>327</v>
      </c>
      <c r="B12" s="564"/>
      <c r="C12" s="564"/>
      <c r="D12" s="565"/>
      <c r="E12" s="415">
        <v>22</v>
      </c>
      <c r="F12" s="416">
        <f>'საშემოსავლო-სამუშაო რვეული'!H43</f>
        <v>10000</v>
      </c>
      <c r="G12" s="417">
        <f>G13</f>
        <v>500</v>
      </c>
      <c r="H12" s="589">
        <v>0.5</v>
      </c>
      <c r="I12" s="395"/>
    </row>
    <row r="13" spans="1:14" ht="31.15" customHeight="1" thickBot="1">
      <c r="A13" s="575" t="s">
        <v>321</v>
      </c>
      <c r="B13" s="576"/>
      <c r="C13" s="576"/>
      <c r="D13" s="590"/>
      <c r="E13" s="391">
        <v>23</v>
      </c>
      <c r="F13" s="416">
        <f>'საშემოსავლო-სამუშაო რვეული'!H43</f>
        <v>10000</v>
      </c>
      <c r="G13" s="417">
        <f>'საშემოსავლო-სამუშაო რვეული'!H44</f>
        <v>500</v>
      </c>
      <c r="H13" s="589"/>
      <c r="I13" s="395"/>
    </row>
    <row r="14" spans="1:14" ht="16.899999999999999" customHeight="1" thickBot="1">
      <c r="A14" s="563" t="s">
        <v>328</v>
      </c>
      <c r="B14" s="564"/>
      <c r="C14" s="564"/>
      <c r="D14" s="565"/>
      <c r="E14" s="391">
        <v>24</v>
      </c>
      <c r="F14" s="393"/>
      <c r="G14" s="418"/>
      <c r="H14" s="561"/>
      <c r="I14" s="395"/>
    </row>
    <row r="15" spans="1:14" ht="31.15" customHeight="1" thickBot="1">
      <c r="A15" s="591" t="s">
        <v>321</v>
      </c>
      <c r="B15" s="592"/>
      <c r="C15" s="592"/>
      <c r="D15" s="577"/>
      <c r="E15" s="391">
        <v>25</v>
      </c>
      <c r="F15" s="393"/>
      <c r="G15" s="394"/>
      <c r="H15" s="562"/>
      <c r="I15" s="395"/>
    </row>
    <row r="16" spans="1:14" ht="40.15" customHeight="1" thickBot="1">
      <c r="A16" s="593" t="s">
        <v>329</v>
      </c>
      <c r="B16" s="594"/>
      <c r="C16" s="594"/>
      <c r="D16" s="595"/>
      <c r="E16" s="392">
        <v>26</v>
      </c>
      <c r="F16" s="393" t="s">
        <v>32</v>
      </c>
      <c r="G16" s="394" t="s">
        <v>32</v>
      </c>
      <c r="H16" s="54"/>
      <c r="I16" s="395"/>
      <c r="K16" s="398"/>
    </row>
    <row r="17" spans="1:13" ht="60.6" customHeight="1" thickBot="1">
      <c r="A17" s="596" t="s">
        <v>330</v>
      </c>
      <c r="B17" s="597"/>
      <c r="C17" s="597"/>
      <c r="D17" s="598"/>
      <c r="E17" s="411">
        <v>27</v>
      </c>
      <c r="F17" s="412"/>
      <c r="G17" s="419"/>
      <c r="H17" s="599"/>
      <c r="I17" s="395"/>
      <c r="K17" s="420"/>
    </row>
    <row r="18" spans="1:13" ht="22.9" customHeight="1" thickBot="1">
      <c r="A18" s="602" t="s">
        <v>331</v>
      </c>
      <c r="B18" s="603"/>
      <c r="C18" s="603"/>
      <c r="D18" s="604"/>
      <c r="E18" s="421">
        <v>28</v>
      </c>
      <c r="F18" s="422"/>
      <c r="G18" s="423" t="s">
        <v>32</v>
      </c>
      <c r="H18" s="600"/>
      <c r="I18" s="395"/>
    </row>
    <row r="19" spans="1:13" ht="25.9" customHeight="1" thickBot="1">
      <c r="A19" s="602" t="s">
        <v>332</v>
      </c>
      <c r="B19" s="603"/>
      <c r="C19" s="603"/>
      <c r="D19" s="604"/>
      <c r="E19" s="424">
        <v>29</v>
      </c>
      <c r="F19" s="422"/>
      <c r="G19" s="425"/>
      <c r="H19" s="600"/>
      <c r="I19" s="395"/>
    </row>
    <row r="20" spans="1:13" ht="28.15" customHeight="1" thickBot="1">
      <c r="A20" s="602" t="s">
        <v>333</v>
      </c>
      <c r="B20" s="603"/>
      <c r="C20" s="603"/>
      <c r="D20" s="604"/>
      <c r="E20" s="424">
        <v>30</v>
      </c>
      <c r="F20" s="422"/>
      <c r="G20" s="425"/>
      <c r="H20" s="600"/>
      <c r="I20" s="395"/>
    </row>
    <row r="21" spans="1:13" ht="18" customHeight="1" thickBot="1">
      <c r="A21" s="602" t="s">
        <v>334</v>
      </c>
      <c r="B21" s="603"/>
      <c r="C21" s="603"/>
      <c r="D21" s="604"/>
      <c r="E21" s="426">
        <v>31</v>
      </c>
      <c r="F21" s="422"/>
      <c r="G21" s="425"/>
      <c r="H21" s="600"/>
      <c r="I21" s="395"/>
    </row>
    <row r="22" spans="1:13" ht="19.899999999999999" customHeight="1" thickBot="1">
      <c r="A22" s="602" t="s">
        <v>335</v>
      </c>
      <c r="B22" s="603"/>
      <c r="C22" s="603"/>
      <c r="D22" s="604"/>
      <c r="E22" s="411">
        <v>32</v>
      </c>
      <c r="F22" s="427"/>
      <c r="G22" s="428"/>
      <c r="H22" s="601"/>
      <c r="I22" s="395"/>
    </row>
    <row r="23" spans="1:13" ht="60.6" customHeight="1" thickBot="1">
      <c r="A23" s="596" t="s">
        <v>336</v>
      </c>
      <c r="B23" s="597"/>
      <c r="C23" s="597"/>
      <c r="D23" s="597"/>
      <c r="E23" s="429">
        <v>33</v>
      </c>
      <c r="F23" s="401"/>
      <c r="G23" s="430"/>
      <c r="H23" s="599"/>
      <c r="I23" s="395"/>
    </row>
    <row r="24" spans="1:13" ht="22.9" customHeight="1" thickBot="1">
      <c r="A24" s="563" t="s">
        <v>337</v>
      </c>
      <c r="B24" s="564"/>
      <c r="C24" s="564"/>
      <c r="D24" s="565"/>
      <c r="E24" s="426">
        <v>34</v>
      </c>
      <c r="F24" s="427"/>
      <c r="G24" s="431"/>
      <c r="H24" s="600"/>
      <c r="I24" s="395"/>
      <c r="M24" s="386" t="s">
        <v>32</v>
      </c>
    </row>
    <row r="25" spans="1:13" ht="33.6" customHeight="1" thickBot="1">
      <c r="A25" s="563" t="s">
        <v>338</v>
      </c>
      <c r="B25" s="564"/>
      <c r="C25" s="564"/>
      <c r="D25" s="565"/>
      <c r="E25" s="424">
        <v>35</v>
      </c>
      <c r="F25" s="427"/>
      <c r="G25" s="432"/>
      <c r="H25" s="600"/>
      <c r="I25" s="395"/>
    </row>
    <row r="26" spans="1:13" ht="17.45" customHeight="1" thickBot="1">
      <c r="A26" s="602" t="s">
        <v>339</v>
      </c>
      <c r="B26" s="603"/>
      <c r="C26" s="603"/>
      <c r="D26" s="604"/>
      <c r="E26" s="426">
        <v>36</v>
      </c>
      <c r="F26" s="427"/>
      <c r="G26" s="432"/>
      <c r="H26" s="600"/>
      <c r="I26" s="395"/>
    </row>
    <row r="27" spans="1:13" ht="18.600000000000001" customHeight="1" thickBot="1">
      <c r="A27" s="578" t="s">
        <v>340</v>
      </c>
      <c r="B27" s="579"/>
      <c r="C27" s="579"/>
      <c r="D27" s="580"/>
      <c r="E27" s="411">
        <v>37</v>
      </c>
      <c r="F27" s="433"/>
      <c r="G27" s="432"/>
      <c r="H27" s="600"/>
      <c r="I27" s="395"/>
    </row>
    <row r="28" spans="1:13" ht="19.899999999999999" customHeight="1" thickBot="1">
      <c r="A28" s="602" t="s">
        <v>335</v>
      </c>
      <c r="B28" s="603"/>
      <c r="C28" s="603"/>
      <c r="D28" s="604"/>
      <c r="E28" s="421">
        <v>38</v>
      </c>
      <c r="F28" s="434"/>
      <c r="G28" s="435"/>
      <c r="H28" s="601"/>
      <c r="I28" s="395"/>
    </row>
    <row r="29" spans="1:13" ht="41.45" customHeight="1" thickBot="1">
      <c r="A29" s="605" t="s">
        <v>341</v>
      </c>
      <c r="B29" s="606"/>
      <c r="C29" s="606"/>
      <c r="D29" s="607"/>
      <c r="E29" s="391">
        <v>39</v>
      </c>
      <c r="F29" s="393"/>
      <c r="G29" s="436">
        <f>G7+G9+G12</f>
        <v>5999.3919999999998</v>
      </c>
      <c r="H29" s="54">
        <v>0.5</v>
      </c>
      <c r="I29" s="395"/>
    </row>
    <row r="30" spans="1:13" ht="51.6" customHeight="1" thickBot="1">
      <c r="A30" s="593" t="s">
        <v>342</v>
      </c>
      <c r="B30" s="594"/>
      <c r="C30" s="594"/>
      <c r="D30" s="595"/>
      <c r="E30" s="437">
        <v>40</v>
      </c>
      <c r="F30" s="438">
        <f>F34+F36</f>
        <v>39355.555555555555</v>
      </c>
      <c r="G30" s="394"/>
      <c r="H30" s="561">
        <v>0.5</v>
      </c>
      <c r="I30" s="395"/>
    </row>
    <row r="31" spans="1:13" ht="21" customHeight="1" thickBot="1">
      <c r="A31" s="602" t="s">
        <v>331</v>
      </c>
      <c r="B31" s="603"/>
      <c r="C31" s="603"/>
      <c r="D31" s="604"/>
      <c r="E31" s="439">
        <v>41</v>
      </c>
      <c r="F31" s="440"/>
      <c r="G31" s="441"/>
      <c r="H31" s="608"/>
      <c r="I31" s="395"/>
    </row>
    <row r="32" spans="1:13" ht="19.149999999999999" customHeight="1" thickBot="1">
      <c r="A32" s="602" t="s">
        <v>332</v>
      </c>
      <c r="B32" s="603"/>
      <c r="C32" s="603"/>
      <c r="D32" s="604"/>
      <c r="E32" s="424">
        <v>42</v>
      </c>
      <c r="F32" s="400"/>
      <c r="G32" s="442"/>
      <c r="H32" s="608"/>
      <c r="I32" s="395"/>
    </row>
    <row r="33" spans="1:14" ht="18" customHeight="1" thickBot="1">
      <c r="A33" s="602" t="s">
        <v>333</v>
      </c>
      <c r="B33" s="603"/>
      <c r="C33" s="603"/>
      <c r="D33" s="604"/>
      <c r="E33" s="426">
        <v>43</v>
      </c>
      <c r="F33" s="400"/>
      <c r="G33" s="442"/>
      <c r="H33" s="608"/>
      <c r="I33" s="395"/>
    </row>
    <row r="34" spans="1:14" ht="19.149999999999999" customHeight="1" thickBot="1">
      <c r="A34" s="602" t="s">
        <v>343</v>
      </c>
      <c r="B34" s="603"/>
      <c r="C34" s="603"/>
      <c r="D34" s="604"/>
      <c r="E34" s="443">
        <v>44</v>
      </c>
      <c r="F34" s="444">
        <f>'საშემოსავლო-სამუშაო რვეული'!H60+'საშემოსავლო-სამუშაო რვეული'!H65</f>
        <v>30655.555555555555</v>
      </c>
      <c r="G34" s="445"/>
      <c r="H34" s="608"/>
      <c r="I34" s="395"/>
      <c r="K34" s="446"/>
    </row>
    <row r="35" spans="1:14" ht="18" customHeight="1" thickBot="1">
      <c r="A35" s="602" t="s">
        <v>335</v>
      </c>
      <c r="B35" s="603"/>
      <c r="C35" s="603"/>
      <c r="D35" s="604"/>
      <c r="E35" s="447">
        <v>45</v>
      </c>
      <c r="F35" s="448"/>
      <c r="G35" s="442"/>
      <c r="H35" s="608"/>
      <c r="I35" s="395"/>
    </row>
    <row r="36" spans="1:14" ht="18.600000000000001" customHeight="1" thickBot="1">
      <c r="A36" s="563" t="s">
        <v>344</v>
      </c>
      <c r="B36" s="564"/>
      <c r="C36" s="564"/>
      <c r="D36" s="565"/>
      <c r="E36" s="449">
        <v>46</v>
      </c>
      <c r="F36" s="448">
        <f>'საშემოსავლო-სამუშაო რვეული'!H45+'საშემოსავლო-სამუშაო რვეული'!H47+'საშემოსავლო-სამუშაო რვეული'!H49</f>
        <v>8700</v>
      </c>
      <c r="G36" s="450"/>
      <c r="H36" s="608"/>
      <c r="I36" s="395"/>
    </row>
    <row r="37" spans="1:14" ht="18.600000000000001" customHeight="1" thickBot="1">
      <c r="A37" s="563" t="s">
        <v>345</v>
      </c>
      <c r="B37" s="564"/>
      <c r="C37" s="564"/>
      <c r="D37" s="565"/>
      <c r="E37" s="451">
        <v>47</v>
      </c>
      <c r="F37" s="393"/>
      <c r="G37" s="394"/>
      <c r="H37" s="609"/>
      <c r="I37" s="395"/>
    </row>
    <row r="38" spans="1:14" ht="53.45" customHeight="1" thickBot="1">
      <c r="A38" s="586" t="s">
        <v>346</v>
      </c>
      <c r="B38" s="587"/>
      <c r="C38" s="587"/>
      <c r="D38" s="587"/>
      <c r="E38" s="429">
        <v>48</v>
      </c>
      <c r="F38" s="438">
        <f>F42+F44</f>
        <v>37355.555555555555</v>
      </c>
      <c r="G38" s="397">
        <f>G42+G44</f>
        <v>3400.5555555555557</v>
      </c>
      <c r="H38" s="610">
        <v>0.5</v>
      </c>
      <c r="I38" s="452"/>
      <c r="K38" s="398"/>
    </row>
    <row r="39" spans="1:14" ht="23.45" customHeight="1" thickBot="1">
      <c r="A39" s="613" t="s">
        <v>337</v>
      </c>
      <c r="B39" s="614"/>
      <c r="C39" s="614"/>
      <c r="D39" s="615"/>
      <c r="E39" s="426">
        <v>49</v>
      </c>
      <c r="F39" s="440"/>
      <c r="G39" s="453"/>
      <c r="H39" s="611"/>
      <c r="I39" s="452"/>
    </row>
    <row r="40" spans="1:14" ht="31.5" customHeight="1" thickBot="1">
      <c r="A40" s="613" t="s">
        <v>347</v>
      </c>
      <c r="B40" s="614"/>
      <c r="C40" s="614"/>
      <c r="D40" s="615"/>
      <c r="E40" s="454">
        <v>50</v>
      </c>
      <c r="F40" s="455"/>
      <c r="G40" s="456"/>
      <c r="H40" s="611"/>
      <c r="I40" s="452"/>
    </row>
    <row r="41" spans="1:14" ht="15" customHeight="1" thickBot="1">
      <c r="A41" s="616" t="s">
        <v>348</v>
      </c>
      <c r="B41" s="616"/>
      <c r="C41" s="616"/>
      <c r="D41" s="616"/>
      <c r="E41" s="426">
        <v>51</v>
      </c>
      <c r="F41" s="400"/>
      <c r="G41" s="457"/>
      <c r="H41" s="611"/>
      <c r="I41" s="452"/>
    </row>
    <row r="42" spans="1:14" ht="28.5" customHeight="1" thickBot="1">
      <c r="A42" s="617" t="s">
        <v>349</v>
      </c>
      <c r="B42" s="618"/>
      <c r="C42" s="618"/>
      <c r="D42" s="619"/>
      <c r="E42" s="443">
        <v>52</v>
      </c>
      <c r="F42" s="444">
        <f>'საშემოსავლო-სამუშაო რვეული'!H60+'საშემოსავლო-სამუშაო რვეული'!H65</f>
        <v>30655.555555555555</v>
      </c>
      <c r="G42" s="458">
        <f>'საშემოსავლო-სამუშაო რვეული'!H61+'საშემოსავლო-სამუშაო რვეული'!H66</f>
        <v>3065.5555555555557</v>
      </c>
      <c r="H42" s="611"/>
      <c r="I42" s="452"/>
    </row>
    <row r="43" spans="1:14" ht="35.25" customHeight="1" thickBot="1">
      <c r="A43" s="613" t="s">
        <v>350</v>
      </c>
      <c r="B43" s="614"/>
      <c r="C43" s="614"/>
      <c r="D43" s="615"/>
      <c r="E43" s="439">
        <v>53</v>
      </c>
      <c r="F43" s="448"/>
      <c r="G43" s="401"/>
      <c r="H43" s="611"/>
      <c r="I43" s="452"/>
    </row>
    <row r="44" spans="1:14" ht="27.75" customHeight="1" thickBot="1">
      <c r="A44" s="613" t="s">
        <v>344</v>
      </c>
      <c r="B44" s="614"/>
      <c r="C44" s="614"/>
      <c r="D44" s="615"/>
      <c r="E44" s="449">
        <v>54</v>
      </c>
      <c r="F44" s="448">
        <f>'საშემოსავლო-სამუშაო რვეული'!H45+'საშემოსავლო-სამუშაო რვეული'!H47</f>
        <v>6700</v>
      </c>
      <c r="G44" s="459">
        <f>'საშემოსავლო-სამუშაო რვეული'!H46+'საშემოსავლო-სამუშაო რვეული'!H48</f>
        <v>335</v>
      </c>
      <c r="H44" s="611"/>
      <c r="I44" s="452"/>
      <c r="K44" s="460"/>
      <c r="L44" s="461"/>
      <c r="M44" s="461"/>
      <c r="N44" s="461"/>
    </row>
    <row r="45" spans="1:14" ht="27.75" customHeight="1" thickBot="1">
      <c r="A45" s="613" t="s">
        <v>345</v>
      </c>
      <c r="B45" s="614"/>
      <c r="C45" s="614"/>
      <c r="D45" s="615"/>
      <c r="E45" s="451">
        <v>55</v>
      </c>
      <c r="F45" s="462"/>
      <c r="G45" s="463"/>
      <c r="H45" s="612"/>
      <c r="I45" s="452"/>
    </row>
    <row r="46" spans="1:14" ht="54" customHeight="1" thickBot="1">
      <c r="A46" s="624" t="s">
        <v>351</v>
      </c>
      <c r="B46" s="625"/>
      <c r="C46" s="625"/>
      <c r="D46" s="625"/>
      <c r="E46" s="429">
        <v>56</v>
      </c>
      <c r="F46" s="464"/>
      <c r="G46" s="405">
        <f>SUM(G42:G45)</f>
        <v>3400.5555555555557</v>
      </c>
      <c r="H46" s="447">
        <v>0.5</v>
      </c>
      <c r="I46" s="452"/>
      <c r="K46" s="420"/>
    </row>
    <row r="47" spans="1:14" ht="33.6" customHeight="1" thickBot="1">
      <c r="A47" s="626" t="s">
        <v>352</v>
      </c>
      <c r="B47" s="627"/>
      <c r="C47" s="627"/>
      <c r="D47" s="628"/>
      <c r="E47" s="465">
        <v>57</v>
      </c>
      <c r="F47" s="466"/>
      <c r="G47" s="397">
        <f>G46+G29</f>
        <v>9399.9475555555546</v>
      </c>
      <c r="H47" s="467">
        <v>0.5</v>
      </c>
      <c r="I47" s="395"/>
      <c r="M47" s="468"/>
    </row>
    <row r="48" spans="1:14">
      <c r="A48" s="387"/>
      <c r="B48" s="387"/>
      <c r="C48" s="387"/>
      <c r="D48" s="387"/>
      <c r="F48" s="387"/>
      <c r="G48" s="387"/>
    </row>
    <row r="49" spans="1:9" ht="19.149999999999999" customHeight="1" thickBot="1">
      <c r="B49" s="629" t="s">
        <v>353</v>
      </c>
      <c r="C49" s="629"/>
      <c r="D49" s="629"/>
    </row>
    <row r="50" spans="1:9" ht="22.5" customHeight="1" thickBot="1">
      <c r="A50" s="563" t="s">
        <v>354</v>
      </c>
      <c r="B50" s="564"/>
      <c r="C50" s="564"/>
      <c r="D50" s="565"/>
      <c r="E50" s="469">
        <v>58</v>
      </c>
      <c r="F50" s="623">
        <f>20000+800</f>
        <v>20800</v>
      </c>
      <c r="G50" s="623"/>
      <c r="H50" s="630">
        <v>0.25</v>
      </c>
      <c r="I50" s="395"/>
    </row>
    <row r="51" spans="1:9" ht="36" customHeight="1" thickBot="1">
      <c r="A51" s="563" t="s">
        <v>355</v>
      </c>
      <c r="B51" s="564"/>
      <c r="C51" s="564"/>
      <c r="D51" s="565"/>
      <c r="E51" s="470">
        <v>59</v>
      </c>
      <c r="F51" s="623" t="s">
        <v>356</v>
      </c>
      <c r="G51" s="623"/>
      <c r="H51" s="631"/>
      <c r="I51" s="395"/>
    </row>
    <row r="52" spans="1:9" ht="28.15" customHeight="1" thickBot="1">
      <c r="A52" s="602" t="s">
        <v>357</v>
      </c>
      <c r="B52" s="603"/>
      <c r="C52" s="603"/>
      <c r="D52" s="604"/>
      <c r="E52" s="470">
        <v>60</v>
      </c>
      <c r="F52" s="623"/>
      <c r="G52" s="623"/>
      <c r="H52" s="631"/>
      <c r="I52" s="395"/>
    </row>
    <row r="53" spans="1:9" ht="24" customHeight="1" thickBot="1">
      <c r="A53" s="602" t="s">
        <v>358</v>
      </c>
      <c r="B53" s="603"/>
      <c r="C53" s="603"/>
      <c r="D53" s="604"/>
      <c r="E53" s="470">
        <v>61</v>
      </c>
      <c r="F53" s="623">
        <v>7</v>
      </c>
      <c r="G53" s="623"/>
      <c r="H53" s="632"/>
      <c r="I53" s="395"/>
    </row>
    <row r="54" spans="1:9" ht="43.5" customHeight="1" thickBot="1">
      <c r="A54" s="602" t="s">
        <v>359</v>
      </c>
      <c r="B54" s="603"/>
      <c r="C54" s="603"/>
      <c r="D54" s="604"/>
      <c r="E54" s="470">
        <v>62</v>
      </c>
      <c r="F54" s="623">
        <v>500</v>
      </c>
      <c r="G54" s="623"/>
      <c r="H54" s="471">
        <v>0.25</v>
      </c>
      <c r="I54" s="395"/>
    </row>
    <row r="55" spans="1:9" ht="15.75" thickBot="1">
      <c r="A55" s="472" t="s">
        <v>360</v>
      </c>
      <c r="B55" s="473"/>
      <c r="C55" s="473"/>
      <c r="D55" s="474"/>
      <c r="E55" s="470">
        <v>63</v>
      </c>
      <c r="F55" s="623">
        <v>1800</v>
      </c>
      <c r="G55" s="623"/>
      <c r="H55" s="620">
        <v>0.25</v>
      </c>
      <c r="I55" s="395"/>
    </row>
    <row r="56" spans="1:9" ht="13.15" customHeight="1" thickBot="1">
      <c r="A56" s="621" t="s">
        <v>361</v>
      </c>
      <c r="B56" s="621"/>
      <c r="C56" s="621"/>
      <c r="D56" s="622"/>
      <c r="E56" s="470">
        <v>64</v>
      </c>
      <c r="F56" s="623">
        <v>0</v>
      </c>
      <c r="G56" s="623"/>
      <c r="H56" s="620"/>
      <c r="I56" s="395"/>
    </row>
    <row r="57" spans="1:9" ht="13.9" customHeight="1" thickBot="1">
      <c r="A57" s="563" t="s">
        <v>362</v>
      </c>
      <c r="B57" s="564"/>
      <c r="C57" s="564"/>
      <c r="D57" s="565"/>
      <c r="E57" s="470">
        <v>65</v>
      </c>
      <c r="F57" s="623">
        <v>8325</v>
      </c>
      <c r="G57" s="623"/>
      <c r="H57" s="471">
        <v>0.25</v>
      </c>
      <c r="I57" s="395"/>
    </row>
    <row r="58" spans="1:9" ht="15.75" thickBot="1">
      <c r="A58" s="563" t="s">
        <v>363</v>
      </c>
      <c r="B58" s="564"/>
      <c r="C58" s="564"/>
      <c r="D58" s="565"/>
      <c r="E58" s="470">
        <v>66</v>
      </c>
      <c r="F58" s="623">
        <v>1050</v>
      </c>
      <c r="G58" s="623"/>
      <c r="H58" s="471">
        <v>0.25</v>
      </c>
      <c r="I58" s="395"/>
    </row>
    <row r="59" spans="1:9" ht="35.25" customHeight="1" thickBot="1">
      <c r="A59" s="634" t="s">
        <v>364</v>
      </c>
      <c r="B59" s="635"/>
      <c r="C59" s="635"/>
      <c r="D59" s="636"/>
      <c r="E59" s="470">
        <v>67</v>
      </c>
      <c r="F59" s="623">
        <v>2</v>
      </c>
      <c r="G59" s="623"/>
      <c r="H59" s="630">
        <v>0.25</v>
      </c>
      <c r="I59" s="395"/>
    </row>
    <row r="60" spans="1:9" ht="50.25" customHeight="1" thickBot="1">
      <c r="A60" s="634" t="s">
        <v>365</v>
      </c>
      <c r="B60" s="635"/>
      <c r="C60" s="635"/>
      <c r="D60" s="636"/>
      <c r="E60" s="470">
        <v>68</v>
      </c>
      <c r="F60" s="623">
        <v>10800</v>
      </c>
      <c r="G60" s="623"/>
      <c r="H60" s="631"/>
      <c r="I60" s="395"/>
    </row>
    <row r="61" spans="1:9" ht="30.75" customHeight="1" thickBot="1">
      <c r="A61" s="634" t="s">
        <v>366</v>
      </c>
      <c r="B61" s="635"/>
      <c r="C61" s="635"/>
      <c r="D61" s="636"/>
      <c r="E61" s="475">
        <v>69</v>
      </c>
      <c r="F61" s="623">
        <v>3</v>
      </c>
      <c r="G61" s="623"/>
      <c r="H61" s="632"/>
      <c r="I61" s="395"/>
    </row>
    <row r="62" spans="1:9">
      <c r="A62" s="387"/>
      <c r="B62" s="387"/>
      <c r="C62" s="387"/>
      <c r="D62" s="387"/>
      <c r="F62" s="387"/>
      <c r="G62" s="387"/>
    </row>
    <row r="63" spans="1:9">
      <c r="A63" s="476" t="s">
        <v>32</v>
      </c>
    </row>
    <row r="65" spans="3:8">
      <c r="C65" s="633"/>
      <c r="D65" s="633"/>
      <c r="E65" s="633"/>
      <c r="F65" s="633"/>
    </row>
    <row r="69" spans="3:8">
      <c r="H69" s="477"/>
    </row>
  </sheetData>
  <mergeCells count="82">
    <mergeCell ref="H59:H61"/>
    <mergeCell ref="A60:D60"/>
    <mergeCell ref="F60:G60"/>
    <mergeCell ref="A61:D61"/>
    <mergeCell ref="F61:G61"/>
    <mergeCell ref="F54:G54"/>
    <mergeCell ref="F55:G55"/>
    <mergeCell ref="C65:F65"/>
    <mergeCell ref="A57:D57"/>
    <mergeCell ref="F57:G57"/>
    <mergeCell ref="A58:D58"/>
    <mergeCell ref="F58:G58"/>
    <mergeCell ref="A59:D59"/>
    <mergeCell ref="F59:G59"/>
    <mergeCell ref="H55:H56"/>
    <mergeCell ref="A56:D56"/>
    <mergeCell ref="F56:G56"/>
    <mergeCell ref="A46:D46"/>
    <mergeCell ref="A47:D47"/>
    <mergeCell ref="B49:D49"/>
    <mergeCell ref="A50:D50"/>
    <mergeCell ref="F50:G50"/>
    <mergeCell ref="H50:H53"/>
    <mergeCell ref="A51:D51"/>
    <mergeCell ref="F51:G51"/>
    <mergeCell ref="A52:D52"/>
    <mergeCell ref="F52:G52"/>
    <mergeCell ref="A53:D53"/>
    <mergeCell ref="F53:G53"/>
    <mergeCell ref="A54:D54"/>
    <mergeCell ref="A38:D38"/>
    <mergeCell ref="H38:H45"/>
    <mergeCell ref="A39:D39"/>
    <mergeCell ref="A40:D40"/>
    <mergeCell ref="A41:D41"/>
    <mergeCell ref="A42:D42"/>
    <mergeCell ref="A43:D43"/>
    <mergeCell ref="A44:D44"/>
    <mergeCell ref="A45:D45"/>
    <mergeCell ref="A29:D29"/>
    <mergeCell ref="A30:D30"/>
    <mergeCell ref="H30:H37"/>
    <mergeCell ref="A31:D31"/>
    <mergeCell ref="A32:D32"/>
    <mergeCell ref="A33:D33"/>
    <mergeCell ref="A34:D34"/>
    <mergeCell ref="A35:D35"/>
    <mergeCell ref="A36:D36"/>
    <mergeCell ref="A37:D37"/>
    <mergeCell ref="A23:D23"/>
    <mergeCell ref="H23:H28"/>
    <mergeCell ref="A24:D24"/>
    <mergeCell ref="A25:D25"/>
    <mergeCell ref="A26:D26"/>
    <mergeCell ref="A27:D27"/>
    <mergeCell ref="A28:D28"/>
    <mergeCell ref="A16:D16"/>
    <mergeCell ref="A17:D17"/>
    <mergeCell ref="H17:H22"/>
    <mergeCell ref="A18:D18"/>
    <mergeCell ref="A19:D19"/>
    <mergeCell ref="A20:D20"/>
    <mergeCell ref="A21:D21"/>
    <mergeCell ref="A22:D22"/>
    <mergeCell ref="A12:D12"/>
    <mergeCell ref="H12:H13"/>
    <mergeCell ref="A13:D13"/>
    <mergeCell ref="A14:D14"/>
    <mergeCell ref="H14:H15"/>
    <mergeCell ref="A15:D15"/>
    <mergeCell ref="I4:I5"/>
    <mergeCell ref="A8:D8"/>
    <mergeCell ref="A9:C10"/>
    <mergeCell ref="H9:H10"/>
    <mergeCell ref="A11:D11"/>
    <mergeCell ref="A6:D6"/>
    <mergeCell ref="H6:H7"/>
    <mergeCell ref="A7:D7"/>
    <mergeCell ref="A3:D3"/>
    <mergeCell ref="A4:E5"/>
    <mergeCell ref="G4:G5"/>
    <mergeCell ref="H4:H5"/>
  </mergeCells>
  <printOptions horizontalCentered="1"/>
  <pageMargins left="0.2" right="0.2" top="0.25" bottom="0.2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2"/>
  <sheetViews>
    <sheetView workbookViewId="0">
      <selection activeCell="K100" sqref="K1:K1048576"/>
    </sheetView>
  </sheetViews>
  <sheetFormatPr defaultColWidth="8.85546875" defaultRowHeight="15"/>
  <cols>
    <col min="1" max="1" width="8.85546875" style="2"/>
    <col min="2" max="2" width="9.5703125" style="2" bestFit="1" customWidth="1"/>
    <col min="3" max="3" width="9.28515625" style="2" bestFit="1" customWidth="1"/>
    <col min="4" max="4" width="6.7109375" style="2" customWidth="1"/>
    <col min="5" max="5" width="11.5703125" style="2" bestFit="1" customWidth="1"/>
    <col min="6" max="6" width="6.140625" style="2" customWidth="1"/>
    <col min="7" max="7" width="12.28515625" style="2" customWidth="1"/>
    <col min="8" max="8" width="14.28515625" style="2" customWidth="1"/>
    <col min="9" max="9" width="10.7109375" style="2" customWidth="1"/>
    <col min="10" max="10" width="12.28515625" style="2" customWidth="1"/>
    <col min="11" max="11" width="8.85546875" style="1"/>
    <col min="12" max="12" width="3" style="2" customWidth="1"/>
    <col min="13" max="14" width="11.5703125" style="2" bestFit="1" customWidth="1"/>
    <col min="15" max="16384" width="8.85546875" style="2"/>
  </cols>
  <sheetData>
    <row r="1" spans="1:17" ht="14.45" customHeight="1">
      <c r="A1" s="488" t="s">
        <v>0</v>
      </c>
      <c r="B1" s="488"/>
      <c r="C1" s="488"/>
      <c r="D1" s="488"/>
      <c r="E1" s="488"/>
      <c r="F1" s="488"/>
      <c r="G1" s="488"/>
      <c r="H1" s="488"/>
      <c r="I1" s="488"/>
      <c r="J1" s="488"/>
    </row>
    <row r="2" spans="1:17" ht="19.149999999999999" customHeight="1">
      <c r="A2" s="3"/>
      <c r="B2" s="642" t="s">
        <v>1</v>
      </c>
      <c r="C2" s="642"/>
      <c r="D2" s="642"/>
      <c r="E2" s="642"/>
      <c r="F2" s="642"/>
      <c r="G2" s="642"/>
      <c r="H2" s="642"/>
      <c r="I2" s="642"/>
      <c r="J2" s="642"/>
    </row>
    <row r="4" spans="1:17">
      <c r="A4" s="489" t="s">
        <v>2</v>
      </c>
      <c r="B4" s="489"/>
      <c r="C4" s="489"/>
      <c r="D4" s="489"/>
      <c r="E4" s="489"/>
      <c r="F4" s="489"/>
      <c r="G4" s="489"/>
      <c r="H4" s="489"/>
      <c r="I4" s="489"/>
      <c r="J4" s="489"/>
    </row>
    <row r="5" spans="1:17">
      <c r="A5" s="4"/>
      <c r="B5" s="4"/>
      <c r="C5" s="4"/>
      <c r="D5" s="4"/>
      <c r="E5" s="4"/>
      <c r="F5" s="4"/>
      <c r="G5" s="4"/>
      <c r="H5" s="4"/>
      <c r="I5" s="4"/>
      <c r="J5" s="4"/>
    </row>
    <row r="6" spans="1:17">
      <c r="A6" s="5" t="s">
        <v>3</v>
      </c>
      <c r="B6" s="6"/>
      <c r="C6" s="6"/>
      <c r="D6" s="6"/>
      <c r="E6" s="6"/>
      <c r="F6" s="6"/>
      <c r="G6" s="6"/>
      <c r="H6" s="6"/>
      <c r="I6" s="6"/>
      <c r="J6" s="6"/>
      <c r="K6" s="7"/>
    </row>
    <row r="7" spans="1:17" ht="15.75" thickBot="1">
      <c r="A7" s="643" t="s">
        <v>4</v>
      </c>
      <c r="B7" s="643"/>
      <c r="C7" s="643"/>
      <c r="D7" s="643"/>
      <c r="E7" s="643"/>
      <c r="F7" s="643"/>
      <c r="G7" s="643"/>
      <c r="K7" s="2"/>
    </row>
    <row r="8" spans="1:17" ht="25.5">
      <c r="A8" s="641" t="s">
        <v>5</v>
      </c>
      <c r="B8" s="641"/>
      <c r="C8" s="641"/>
      <c r="D8" s="641"/>
      <c r="E8" s="641"/>
      <c r="F8" s="641"/>
      <c r="G8" s="8" t="s">
        <v>6</v>
      </c>
      <c r="H8" s="9" t="s">
        <v>7</v>
      </c>
      <c r="I8" s="10" t="s">
        <v>8</v>
      </c>
      <c r="J8" s="11" t="s">
        <v>9</v>
      </c>
      <c r="K8" s="2"/>
      <c r="M8" s="12"/>
      <c r="N8" s="12"/>
      <c r="O8" s="12"/>
      <c r="Q8" s="12"/>
    </row>
    <row r="9" spans="1:17" ht="37.5" customHeight="1">
      <c r="A9" s="637" t="s">
        <v>10</v>
      </c>
      <c r="B9" s="638"/>
      <c r="C9" s="638"/>
      <c r="D9" s="638"/>
      <c r="E9" s="638"/>
      <c r="F9" s="639"/>
      <c r="G9" s="13" t="s">
        <v>11</v>
      </c>
      <c r="H9" s="14">
        <f>(20000*1.55+2250*0.55+500)*3</f>
        <v>98212.5</v>
      </c>
      <c r="I9" s="15">
        <v>1</v>
      </c>
      <c r="J9" s="16"/>
      <c r="K9" s="2"/>
    </row>
    <row r="10" spans="1:17" ht="25.5">
      <c r="A10" s="637" t="s">
        <v>12</v>
      </c>
      <c r="B10" s="638"/>
      <c r="C10" s="638"/>
      <c r="D10" s="638"/>
      <c r="E10" s="638"/>
      <c r="F10" s="639"/>
      <c r="G10" s="17" t="s">
        <v>13</v>
      </c>
      <c r="H10" s="18">
        <f>20*400</f>
        <v>8000</v>
      </c>
      <c r="I10" s="19">
        <v>0.5</v>
      </c>
      <c r="J10" s="16"/>
      <c r="K10" s="2"/>
    </row>
    <row r="11" spans="1:17" ht="24">
      <c r="A11" s="637" t="s">
        <v>14</v>
      </c>
      <c r="B11" s="638"/>
      <c r="C11" s="638"/>
      <c r="D11" s="638"/>
      <c r="E11" s="638"/>
      <c r="F11" s="639"/>
      <c r="G11" s="20" t="s">
        <v>15</v>
      </c>
      <c r="H11" s="14">
        <f>H9+H10</f>
        <v>106212.5</v>
      </c>
      <c r="I11" s="15">
        <v>0.5</v>
      </c>
      <c r="J11" s="15"/>
      <c r="K11" s="2"/>
    </row>
    <row r="12" spans="1:17">
      <c r="A12" s="637" t="s">
        <v>16</v>
      </c>
      <c r="B12" s="638"/>
      <c r="C12" s="638"/>
      <c r="D12" s="638"/>
      <c r="E12" s="638"/>
      <c r="F12" s="639"/>
      <c r="G12" s="20" t="s">
        <v>17</v>
      </c>
      <c r="H12" s="21">
        <f>H11*18%</f>
        <v>19118.25</v>
      </c>
      <c r="I12" s="19">
        <v>0.5</v>
      </c>
      <c r="J12" s="15"/>
      <c r="K12" s="2"/>
      <c r="Q12" s="22"/>
    </row>
    <row r="13" spans="1:17">
      <c r="A13" s="4"/>
      <c r="B13" s="4"/>
      <c r="C13" s="4"/>
      <c r="D13" s="4"/>
      <c r="E13" s="4"/>
      <c r="F13" s="4"/>
      <c r="G13" s="4"/>
      <c r="H13" s="4"/>
      <c r="I13" s="4"/>
      <c r="J13" s="4"/>
    </row>
    <row r="14" spans="1:17">
      <c r="A14" s="4"/>
      <c r="B14" s="4"/>
      <c r="C14" s="4"/>
      <c r="D14" s="4"/>
      <c r="E14" s="4"/>
      <c r="F14" s="4"/>
      <c r="G14" s="4"/>
      <c r="H14" s="4"/>
      <c r="I14" s="4"/>
      <c r="J14" s="4"/>
    </row>
    <row r="15" spans="1:17" s="12" customFormat="1" ht="36.75" customHeight="1">
      <c r="A15" s="478" t="s">
        <v>18</v>
      </c>
      <c r="B15" s="478"/>
      <c r="C15" s="478"/>
      <c r="D15" s="478"/>
      <c r="E15" s="478"/>
      <c r="F15" s="478"/>
      <c r="G15" s="478"/>
      <c r="H15" s="478"/>
      <c r="I15" s="478"/>
      <c r="J15" s="478"/>
      <c r="K15" s="23"/>
    </row>
    <row r="16" spans="1:17" ht="15.75" thickBot="1">
      <c r="A16" s="640" t="s">
        <v>19</v>
      </c>
      <c r="B16" s="640"/>
      <c r="C16" s="640"/>
      <c r="D16" s="640"/>
      <c r="E16" s="640"/>
      <c r="F16" s="640"/>
    </row>
    <row r="17" spans="1:13" ht="25.15" customHeight="1">
      <c r="A17" s="641" t="s">
        <v>5</v>
      </c>
      <c r="B17" s="641"/>
      <c r="C17" s="641"/>
      <c r="D17" s="641"/>
      <c r="E17" s="641"/>
      <c r="F17" s="641"/>
      <c r="G17" s="8" t="s">
        <v>6</v>
      </c>
      <c r="H17" s="9" t="s">
        <v>7</v>
      </c>
      <c r="I17" s="10" t="s">
        <v>8</v>
      </c>
      <c r="J17" s="11" t="s">
        <v>9</v>
      </c>
    </row>
    <row r="18" spans="1:13" ht="24">
      <c r="A18" s="649" t="s">
        <v>20</v>
      </c>
      <c r="B18" s="646"/>
      <c r="C18" s="646"/>
      <c r="D18" s="646"/>
      <c r="E18" s="646"/>
      <c r="F18" s="650"/>
      <c r="G18" s="20" t="s">
        <v>15</v>
      </c>
      <c r="H18" s="15">
        <f>(3000+4*12)*3</f>
        <v>9144</v>
      </c>
      <c r="I18" s="15">
        <v>0.5</v>
      </c>
      <c r="J18" s="654"/>
    </row>
    <row r="19" spans="1:13" ht="41.25" customHeight="1">
      <c r="A19" s="651"/>
      <c r="B19" s="652"/>
      <c r="C19" s="652"/>
      <c r="D19" s="652"/>
      <c r="E19" s="652"/>
      <c r="F19" s="653"/>
      <c r="G19" s="20" t="s">
        <v>21</v>
      </c>
      <c r="H19" s="24">
        <f>H18*18%</f>
        <v>1645.9199999999998</v>
      </c>
      <c r="I19" s="19">
        <v>0.5</v>
      </c>
      <c r="J19" s="655"/>
    </row>
    <row r="21" spans="1:13" s="6" customFormat="1">
      <c r="A21" s="5" t="s">
        <v>22</v>
      </c>
      <c r="K21" s="25"/>
    </row>
    <row r="22" spans="1:13" ht="15.75" thickBot="1">
      <c r="A22" s="640" t="s">
        <v>23</v>
      </c>
      <c r="B22" s="640"/>
      <c r="C22" s="640"/>
      <c r="D22" s="640"/>
      <c r="E22" s="640"/>
      <c r="F22" s="640"/>
    </row>
    <row r="23" spans="1:13" ht="25.5">
      <c r="A23" s="641" t="s">
        <v>5</v>
      </c>
      <c r="B23" s="641"/>
      <c r="C23" s="641"/>
      <c r="D23" s="641"/>
      <c r="E23" s="641"/>
      <c r="F23" s="641"/>
      <c r="G23" s="8" t="s">
        <v>6</v>
      </c>
      <c r="H23" s="9" t="s">
        <v>7</v>
      </c>
      <c r="I23" s="10" t="s">
        <v>8</v>
      </c>
      <c r="J23" s="11" t="s">
        <v>9</v>
      </c>
    </row>
    <row r="24" spans="1:13" ht="39" customHeight="1">
      <c r="A24" s="656" t="s">
        <v>24</v>
      </c>
      <c r="B24" s="657"/>
      <c r="C24" s="657"/>
      <c r="D24" s="657"/>
      <c r="E24" s="657"/>
      <c r="F24" s="658"/>
      <c r="G24" s="13" t="s">
        <v>15</v>
      </c>
      <c r="H24" s="26">
        <f>400000/1.18</f>
        <v>338983.05084745766</v>
      </c>
      <c r="I24" s="647">
        <v>0.5</v>
      </c>
      <c r="J24" s="647"/>
      <c r="K24" s="644"/>
    </row>
    <row r="25" spans="1:13" ht="25.15" customHeight="1">
      <c r="A25" s="645" t="s">
        <v>25</v>
      </c>
      <c r="B25" s="645"/>
      <c r="C25" s="645"/>
      <c r="D25" s="645"/>
      <c r="E25" s="645"/>
      <c r="F25" s="645"/>
      <c r="G25" s="20" t="s">
        <v>17</v>
      </c>
      <c r="H25" s="14">
        <f>H24*18%</f>
        <v>61016.94915254238</v>
      </c>
      <c r="I25" s="648"/>
      <c r="J25" s="648"/>
      <c r="K25" s="644"/>
      <c r="M25" s="22"/>
    </row>
    <row r="26" spans="1:13" ht="25.15" customHeight="1">
      <c r="A26" s="646" t="s">
        <v>26</v>
      </c>
      <c r="B26" s="646"/>
      <c r="C26" s="646"/>
      <c r="D26" s="646"/>
      <c r="E26" s="646"/>
      <c r="F26" s="646"/>
      <c r="G26" s="13" t="s">
        <v>15</v>
      </c>
      <c r="H26" s="20">
        <v>540000</v>
      </c>
      <c r="I26" s="647">
        <v>0.5</v>
      </c>
      <c r="J26" s="647"/>
      <c r="K26" s="644"/>
      <c r="M26" s="22"/>
    </row>
    <row r="27" spans="1:13" ht="42" customHeight="1">
      <c r="A27" s="637" t="s">
        <v>27</v>
      </c>
      <c r="B27" s="638"/>
      <c r="C27" s="638"/>
      <c r="D27" s="638"/>
      <c r="E27" s="638"/>
      <c r="F27" s="639"/>
      <c r="G27" s="20" t="s">
        <v>28</v>
      </c>
      <c r="H27" s="27">
        <v>0</v>
      </c>
      <c r="I27" s="648"/>
      <c r="J27" s="648"/>
      <c r="K27" s="644"/>
      <c r="M27" s="22"/>
    </row>
    <row r="28" spans="1:13" ht="25.15" customHeight="1">
      <c r="A28" s="28"/>
      <c r="B28" s="28"/>
      <c r="C28" s="28"/>
      <c r="D28" s="28"/>
      <c r="E28" s="28"/>
      <c r="F28" s="28"/>
      <c r="G28" s="29"/>
      <c r="H28" s="30"/>
      <c r="I28" s="31"/>
      <c r="J28" s="31"/>
      <c r="K28" s="28"/>
      <c r="M28" s="22"/>
    </row>
    <row r="31" spans="1:13" s="7" customFormat="1">
      <c r="A31" s="5" t="s">
        <v>29</v>
      </c>
      <c r="B31" s="6"/>
      <c r="C31" s="6"/>
      <c r="D31" s="6"/>
      <c r="E31" s="6"/>
      <c r="F31" s="6"/>
      <c r="G31" s="6"/>
      <c r="H31" s="6"/>
      <c r="I31" s="6"/>
      <c r="J31" s="6"/>
      <c r="K31" s="17"/>
    </row>
    <row r="32" spans="1:13" ht="15.75" thickBot="1">
      <c r="A32" s="640" t="s">
        <v>30</v>
      </c>
      <c r="B32" s="640"/>
      <c r="C32" s="640"/>
      <c r="D32" s="640"/>
      <c r="E32" s="640"/>
      <c r="F32" s="640"/>
    </row>
    <row r="33" spans="1:19" ht="25.5">
      <c r="A33" s="641" t="s">
        <v>5</v>
      </c>
      <c r="B33" s="641"/>
      <c r="C33" s="641"/>
      <c r="D33" s="641"/>
      <c r="E33" s="641"/>
      <c r="F33" s="641"/>
      <c r="G33" s="8" t="s">
        <v>6</v>
      </c>
      <c r="H33" s="9" t="s">
        <v>7</v>
      </c>
      <c r="I33" s="10" t="s">
        <v>8</v>
      </c>
      <c r="J33" s="11" t="s">
        <v>9</v>
      </c>
    </row>
    <row r="34" spans="1:19" ht="24">
      <c r="A34" s="649" t="s">
        <v>31</v>
      </c>
      <c r="B34" s="646"/>
      <c r="C34" s="646"/>
      <c r="D34" s="646"/>
      <c r="E34" s="646"/>
      <c r="F34" s="650"/>
      <c r="G34" s="20" t="s">
        <v>15</v>
      </c>
      <c r="H34" s="27">
        <f>6000/1.18</f>
        <v>5084.7457627118647</v>
      </c>
      <c r="I34" s="548">
        <v>0.5</v>
      </c>
      <c r="J34" s="654"/>
      <c r="K34" s="644"/>
      <c r="P34" s="22"/>
    </row>
    <row r="35" spans="1:19" ht="33" customHeight="1">
      <c r="A35" s="651"/>
      <c r="B35" s="652"/>
      <c r="C35" s="652"/>
      <c r="D35" s="652"/>
      <c r="E35" s="652"/>
      <c r="F35" s="653"/>
      <c r="G35" s="20" t="s">
        <v>17</v>
      </c>
      <c r="H35" s="32">
        <f>H34*18%</f>
        <v>915.25423728813564</v>
      </c>
      <c r="I35" s="547"/>
      <c r="J35" s="655"/>
      <c r="K35" s="644"/>
    </row>
    <row r="36" spans="1:19">
      <c r="E36" s="2" t="s">
        <v>32</v>
      </c>
    </row>
    <row r="37" spans="1:19" s="33" customFormat="1" ht="35.25" customHeight="1" thickBot="1">
      <c r="A37" s="659" t="s">
        <v>33</v>
      </c>
      <c r="B37" s="659"/>
      <c r="C37" s="659"/>
      <c r="D37" s="659"/>
      <c r="E37" s="659"/>
      <c r="F37" s="659"/>
      <c r="G37" s="659"/>
      <c r="H37" s="659"/>
      <c r="I37" s="659"/>
      <c r="J37" s="659"/>
    </row>
    <row r="38" spans="1:19" ht="25.5">
      <c r="A38" s="641" t="s">
        <v>5</v>
      </c>
      <c r="B38" s="641"/>
      <c r="C38" s="641"/>
      <c r="D38" s="641"/>
      <c r="E38" s="641"/>
      <c r="F38" s="641"/>
      <c r="G38" s="8" t="s">
        <v>6</v>
      </c>
      <c r="H38" s="9" t="s">
        <v>7</v>
      </c>
      <c r="I38" s="10" t="s">
        <v>8</v>
      </c>
      <c r="J38" s="11" t="s">
        <v>9</v>
      </c>
    </row>
    <row r="39" spans="1:19" ht="24">
      <c r="A39" s="649" t="s">
        <v>34</v>
      </c>
      <c r="B39" s="646"/>
      <c r="C39" s="646"/>
      <c r="D39" s="646"/>
      <c r="E39" s="646"/>
      <c r="F39" s="650"/>
      <c r="G39" s="20" t="s">
        <v>15</v>
      </c>
      <c r="H39" s="27">
        <f>5900/1.18/2000*200</f>
        <v>500</v>
      </c>
      <c r="I39" s="15">
        <v>1</v>
      </c>
      <c r="J39" s="548"/>
    </row>
    <row r="40" spans="1:19">
      <c r="A40" s="651"/>
      <c r="B40" s="652"/>
      <c r="C40" s="652"/>
      <c r="D40" s="652"/>
      <c r="E40" s="652"/>
      <c r="F40" s="653"/>
      <c r="G40" s="20" t="s">
        <v>17</v>
      </c>
      <c r="H40" s="34">
        <f>H39*18%</f>
        <v>90</v>
      </c>
      <c r="I40" s="15">
        <v>0.5</v>
      </c>
      <c r="J40" s="547"/>
      <c r="N40" s="35"/>
      <c r="O40" s="35"/>
      <c r="P40" s="35"/>
      <c r="Q40" s="35"/>
      <c r="R40" s="35"/>
      <c r="S40" s="35"/>
    </row>
    <row r="41" spans="1:19">
      <c r="A41" s="660"/>
      <c r="B41" s="660"/>
      <c r="C41" s="660"/>
      <c r="D41" s="660"/>
      <c r="E41" s="660"/>
      <c r="F41" s="660"/>
      <c r="G41" s="31"/>
      <c r="H41" s="30"/>
      <c r="I41" s="28"/>
      <c r="J41" s="35"/>
      <c r="L41" s="36"/>
    </row>
    <row r="42" spans="1:19" ht="10.9" customHeight="1"/>
    <row r="43" spans="1:19" ht="30" customHeight="1">
      <c r="A43" s="661" t="s">
        <v>35</v>
      </c>
      <c r="B43" s="661"/>
      <c r="C43" s="661"/>
      <c r="D43" s="661"/>
      <c r="E43" s="661"/>
      <c r="F43" s="661"/>
      <c r="G43" s="661"/>
      <c r="H43" s="661"/>
      <c r="I43" s="661"/>
      <c r="J43" s="661"/>
    </row>
    <row r="44" spans="1:19" ht="15.75" thickBot="1">
      <c r="A44" s="37" t="s">
        <v>36</v>
      </c>
      <c r="B44" s="37"/>
      <c r="C44" s="37"/>
      <c r="D44" s="37"/>
      <c r="E44" s="37"/>
      <c r="F44" s="37"/>
      <c r="G44" s="38"/>
      <c r="H44" s="38"/>
    </row>
    <row r="45" spans="1:19" ht="25.5">
      <c r="A45" s="641" t="s">
        <v>5</v>
      </c>
      <c r="B45" s="641"/>
      <c r="C45" s="641"/>
      <c r="D45" s="641"/>
      <c r="E45" s="641"/>
      <c r="F45" s="641"/>
      <c r="G45" s="8" t="s">
        <v>6</v>
      </c>
      <c r="H45" s="9" t="s">
        <v>7</v>
      </c>
      <c r="I45" s="10" t="s">
        <v>8</v>
      </c>
      <c r="J45" s="11" t="s">
        <v>9</v>
      </c>
    </row>
    <row r="46" spans="1:19" ht="24">
      <c r="A46" s="663" t="s">
        <v>37</v>
      </c>
      <c r="B46" s="663"/>
      <c r="C46" s="663"/>
      <c r="D46" s="663"/>
      <c r="E46" s="663"/>
      <c r="F46" s="663"/>
      <c r="G46" s="20" t="s">
        <v>15</v>
      </c>
      <c r="H46" s="21">
        <f>1000*3.8</f>
        <v>3800</v>
      </c>
      <c r="I46" s="645">
        <v>0.5</v>
      </c>
      <c r="J46" s="645"/>
      <c r="K46" s="644"/>
      <c r="M46" s="22"/>
      <c r="N46" s="22"/>
    </row>
    <row r="47" spans="1:19" ht="16.899999999999999" customHeight="1">
      <c r="A47" s="663"/>
      <c r="B47" s="663"/>
      <c r="C47" s="663"/>
      <c r="D47" s="663"/>
      <c r="E47" s="663"/>
      <c r="F47" s="663"/>
      <c r="G47" s="20" t="s">
        <v>17</v>
      </c>
      <c r="H47" s="27">
        <f>H46*0%</f>
        <v>0</v>
      </c>
      <c r="I47" s="645"/>
      <c r="J47" s="645"/>
      <c r="K47" s="644"/>
    </row>
    <row r="48" spans="1:19" ht="16.899999999999999" customHeight="1">
      <c r="A48" s="39"/>
      <c r="B48" s="39"/>
      <c r="C48" s="39"/>
      <c r="D48" s="39"/>
      <c r="E48" s="39"/>
      <c r="F48" s="39"/>
      <c r="G48" s="29"/>
      <c r="H48" s="30"/>
      <c r="I48" s="28"/>
      <c r="J48" s="28"/>
      <c r="K48" s="28"/>
    </row>
    <row r="49" spans="1:17" ht="16.899999999999999" customHeight="1">
      <c r="A49" s="39"/>
      <c r="B49" s="39"/>
      <c r="C49" s="39"/>
      <c r="D49" s="39"/>
      <c r="E49" s="39"/>
      <c r="F49" s="39"/>
      <c r="G49" s="29"/>
      <c r="H49" s="30"/>
      <c r="I49" s="28"/>
      <c r="J49" s="28"/>
      <c r="K49" s="28"/>
    </row>
    <row r="50" spans="1:17" ht="24" customHeight="1">
      <c r="A50" s="671" t="s">
        <v>38</v>
      </c>
      <c r="B50" s="672"/>
      <c r="C50" s="672"/>
      <c r="D50" s="672"/>
      <c r="E50" s="672"/>
      <c r="F50" s="672"/>
      <c r="G50" s="672"/>
      <c r="H50" s="672"/>
      <c r="I50" s="672"/>
      <c r="J50" s="673"/>
      <c r="K50" s="28"/>
    </row>
    <row r="51" spans="1:17" ht="21.75" customHeight="1">
      <c r="A51" s="662" t="s">
        <v>39</v>
      </c>
      <c r="B51" s="662"/>
      <c r="C51" s="662"/>
      <c r="D51" s="662"/>
      <c r="E51" s="662"/>
      <c r="F51" s="662"/>
      <c r="G51" s="40" t="s">
        <v>15</v>
      </c>
      <c r="H51" s="34">
        <f>2000/1.18</f>
        <v>1694.9152542372883</v>
      </c>
      <c r="I51" s="547">
        <v>0.5</v>
      </c>
      <c r="J51" s="664"/>
      <c r="K51" s="644"/>
      <c r="M51" s="22"/>
      <c r="N51" s="22"/>
    </row>
    <row r="52" spans="1:17" ht="16.899999999999999" customHeight="1">
      <c r="A52" s="663"/>
      <c r="B52" s="663"/>
      <c r="C52" s="663"/>
      <c r="D52" s="663"/>
      <c r="E52" s="663"/>
      <c r="F52" s="663"/>
      <c r="G52" s="20" t="s">
        <v>17</v>
      </c>
      <c r="H52" s="27">
        <f>H51*18%</f>
        <v>305.08474576271186</v>
      </c>
      <c r="I52" s="645"/>
      <c r="J52" s="547"/>
      <c r="K52" s="644"/>
    </row>
    <row r="53" spans="1:17" ht="24" customHeight="1">
      <c r="A53" s="665" t="s">
        <v>40</v>
      </c>
      <c r="B53" s="666"/>
      <c r="C53" s="666"/>
      <c r="D53" s="666"/>
      <c r="E53" s="666"/>
      <c r="F53" s="667"/>
      <c r="G53" s="20" t="s">
        <v>15</v>
      </c>
      <c r="H53" s="21">
        <f>10000*3%*2.7</f>
        <v>810</v>
      </c>
      <c r="I53" s="548">
        <v>0.5</v>
      </c>
      <c r="J53" s="548"/>
      <c r="K53" s="644"/>
      <c r="N53" s="22"/>
      <c r="O53" s="22"/>
    </row>
    <row r="54" spans="1:17" ht="21.75" customHeight="1">
      <c r="A54" s="668"/>
      <c r="B54" s="669"/>
      <c r="C54" s="669"/>
      <c r="D54" s="669"/>
      <c r="E54" s="669"/>
      <c r="F54" s="670"/>
      <c r="G54" s="20" t="s">
        <v>17</v>
      </c>
      <c r="H54" s="41">
        <f>H53*0%</f>
        <v>0</v>
      </c>
      <c r="I54" s="547"/>
      <c r="J54" s="547"/>
      <c r="K54" s="644"/>
    </row>
    <row r="55" spans="1:17" ht="16.899999999999999" customHeight="1">
      <c r="A55" s="28"/>
      <c r="B55" s="28"/>
      <c r="C55" s="28"/>
      <c r="D55" s="28"/>
      <c r="E55" s="28"/>
      <c r="F55" s="28"/>
      <c r="G55" s="29"/>
      <c r="H55" s="30"/>
      <c r="I55" s="28"/>
      <c r="J55" s="28"/>
    </row>
    <row r="56" spans="1:17">
      <c r="A56" s="679" t="s">
        <v>41</v>
      </c>
      <c r="B56" s="680"/>
      <c r="C56" s="680"/>
      <c r="D56" s="680"/>
      <c r="E56" s="680"/>
      <c r="F56" s="680"/>
      <c r="G56" s="680"/>
      <c r="H56" s="680"/>
      <c r="I56" s="680"/>
      <c r="J56" s="680"/>
    </row>
    <row r="57" spans="1:17" ht="15.75" thickBot="1">
      <c r="A57" s="681" t="s">
        <v>42</v>
      </c>
      <c r="B57" s="681"/>
      <c r="C57" s="681"/>
      <c r="D57" s="681"/>
      <c r="E57" s="681"/>
      <c r="F57" s="681"/>
    </row>
    <row r="58" spans="1:17" ht="25.5">
      <c r="A58" s="641" t="s">
        <v>5</v>
      </c>
      <c r="B58" s="641"/>
      <c r="C58" s="641"/>
      <c r="D58" s="641"/>
      <c r="E58" s="641"/>
      <c r="F58" s="641"/>
      <c r="G58" s="8" t="s">
        <v>6</v>
      </c>
      <c r="H58" s="9" t="s">
        <v>7</v>
      </c>
      <c r="I58" s="10" t="s">
        <v>8</v>
      </c>
      <c r="J58" s="11" t="s">
        <v>9</v>
      </c>
      <c r="L58" s="1"/>
    </row>
    <row r="59" spans="1:17" ht="35.25" customHeight="1">
      <c r="A59" s="649" t="s">
        <v>43</v>
      </c>
      <c r="B59" s="646"/>
      <c r="C59" s="646"/>
      <c r="D59" s="646"/>
      <c r="E59" s="646"/>
      <c r="F59" s="650"/>
      <c r="G59" s="20" t="s">
        <v>15</v>
      </c>
      <c r="H59" s="21">
        <v>12500</v>
      </c>
      <c r="I59" s="15">
        <v>0.5</v>
      </c>
      <c r="J59" s="548"/>
    </row>
    <row r="60" spans="1:17" ht="35.25" customHeight="1">
      <c r="A60" s="651"/>
      <c r="B60" s="652"/>
      <c r="C60" s="652"/>
      <c r="D60" s="652"/>
      <c r="E60" s="652"/>
      <c r="F60" s="653"/>
      <c r="G60" s="20" t="s">
        <v>17</v>
      </c>
      <c r="H60" s="42" t="s">
        <v>44</v>
      </c>
      <c r="I60" s="15">
        <v>0.5</v>
      </c>
      <c r="J60" s="547"/>
    </row>
    <row r="61" spans="1:17" ht="10.5" customHeight="1">
      <c r="A61" s="43"/>
      <c r="B61" s="43"/>
      <c r="C61" s="43"/>
      <c r="D61" s="43"/>
      <c r="E61" s="43"/>
      <c r="F61" s="43"/>
      <c r="G61" s="29"/>
      <c r="H61" s="44"/>
      <c r="I61" s="43"/>
      <c r="J61" s="43"/>
    </row>
    <row r="62" spans="1:17" s="46" customFormat="1">
      <c r="A62" s="490" t="s">
        <v>45</v>
      </c>
      <c r="B62" s="490"/>
      <c r="C62" s="490"/>
      <c r="D62" s="490"/>
      <c r="E62" s="490"/>
      <c r="F62" s="490"/>
      <c r="G62" s="490"/>
      <c r="H62" s="490"/>
      <c r="I62" s="490"/>
      <c r="J62" s="490"/>
      <c r="K62" s="45"/>
    </row>
    <row r="63" spans="1:17">
      <c r="A63" s="478" t="s">
        <v>46</v>
      </c>
      <c r="B63" s="478"/>
      <c r="C63" s="478"/>
      <c r="D63" s="478"/>
      <c r="E63" s="478"/>
      <c r="F63" s="47"/>
      <c r="G63" s="47"/>
      <c r="H63" s="47"/>
      <c r="I63" s="47"/>
      <c r="J63" s="47"/>
    </row>
    <row r="64" spans="1:17">
      <c r="A64" s="674" t="s">
        <v>47</v>
      </c>
      <c r="B64" s="674"/>
      <c r="C64" s="674"/>
      <c r="D64" s="674"/>
      <c r="E64" s="674"/>
      <c r="F64" s="674"/>
      <c r="G64" s="29"/>
      <c r="H64" s="30"/>
      <c r="I64" s="28"/>
      <c r="J64" s="44"/>
      <c r="K64" s="28"/>
      <c r="L64" s="43"/>
      <c r="M64" s="43"/>
      <c r="P64" s="22"/>
      <c r="Q64" s="22"/>
    </row>
    <row r="65" spans="1:13" ht="30">
      <c r="A65" s="675" t="s">
        <v>5</v>
      </c>
      <c r="B65" s="675"/>
      <c r="C65" s="675"/>
      <c r="D65" s="675"/>
      <c r="E65" s="675"/>
      <c r="F65" s="675"/>
      <c r="G65" s="48" t="s">
        <v>6</v>
      </c>
      <c r="H65" s="48" t="s">
        <v>7</v>
      </c>
      <c r="I65" s="48" t="s">
        <v>8</v>
      </c>
      <c r="J65" s="48" t="s">
        <v>9</v>
      </c>
      <c r="K65" s="28"/>
      <c r="L65" s="43"/>
      <c r="M65" s="43"/>
    </row>
    <row r="66" spans="1:13" ht="48" customHeight="1">
      <c r="A66" s="676" t="s">
        <v>48</v>
      </c>
      <c r="B66" s="677"/>
      <c r="C66" s="677"/>
      <c r="D66" s="677"/>
      <c r="E66" s="677"/>
      <c r="F66" s="678"/>
      <c r="G66" s="49" t="s">
        <v>49</v>
      </c>
      <c r="H66" s="49">
        <f>400*20/100*7.5</f>
        <v>600</v>
      </c>
      <c r="I66" s="49">
        <v>1</v>
      </c>
      <c r="J66" s="50"/>
      <c r="K66" s="28"/>
      <c r="L66" s="43"/>
      <c r="M66" s="43"/>
    </row>
    <row r="67" spans="1:13" ht="25.5">
      <c r="A67" s="641" t="s">
        <v>50</v>
      </c>
      <c r="B67" s="641"/>
      <c r="C67" s="641"/>
      <c r="D67" s="641"/>
      <c r="E67" s="641"/>
      <c r="F67" s="641"/>
      <c r="G67" s="13" t="s">
        <v>51</v>
      </c>
      <c r="H67" s="51">
        <f>6355.93*18%</f>
        <v>1144.0673999999999</v>
      </c>
      <c r="I67" s="13">
        <v>1</v>
      </c>
      <c r="J67" s="13"/>
      <c r="K67" s="28"/>
      <c r="L67" s="43"/>
      <c r="M67" s="43"/>
    </row>
    <row r="68" spans="1:13" ht="15.75" customHeight="1">
      <c r="A68" s="35"/>
      <c r="B68" s="35"/>
      <c r="C68" s="35"/>
      <c r="D68" s="35"/>
      <c r="E68" s="35"/>
      <c r="F68" s="35"/>
      <c r="G68" s="31"/>
      <c r="H68" s="28"/>
      <c r="I68" s="28"/>
      <c r="J68" s="35"/>
      <c r="K68" s="28"/>
      <c r="L68" s="43"/>
      <c r="M68" s="43"/>
    </row>
    <row r="69" spans="1:13" ht="21" customHeight="1">
      <c r="A69" s="660" t="s">
        <v>52</v>
      </c>
      <c r="B69" s="660"/>
      <c r="C69" s="660"/>
      <c r="D69" s="660"/>
      <c r="E69" s="660"/>
      <c r="F69" s="660"/>
      <c r="G69" s="29"/>
      <c r="H69" s="28"/>
      <c r="I69" s="28"/>
      <c r="J69" s="35"/>
      <c r="K69" s="28"/>
      <c r="L69" s="43"/>
      <c r="M69" s="43"/>
    </row>
    <row r="70" spans="1:13" ht="27" customHeight="1">
      <c r="A70" s="645" t="s">
        <v>5</v>
      </c>
      <c r="B70" s="645"/>
      <c r="C70" s="645"/>
      <c r="D70" s="645"/>
      <c r="E70" s="645"/>
      <c r="F70" s="645"/>
      <c r="G70" s="20" t="s">
        <v>6</v>
      </c>
      <c r="H70" s="15" t="s">
        <v>7</v>
      </c>
      <c r="I70" s="15" t="s">
        <v>8</v>
      </c>
      <c r="J70" s="16" t="s">
        <v>9</v>
      </c>
      <c r="K70" s="28"/>
      <c r="L70" s="43"/>
      <c r="M70" s="43"/>
    </row>
    <row r="71" spans="1:13" ht="28.9" customHeight="1">
      <c r="A71" s="645" t="s">
        <v>53</v>
      </c>
      <c r="B71" s="645"/>
      <c r="C71" s="645"/>
      <c r="D71" s="645"/>
      <c r="E71" s="645"/>
      <c r="F71" s="645"/>
      <c r="G71" s="20" t="s">
        <v>54</v>
      </c>
      <c r="H71" s="15">
        <v>40000</v>
      </c>
      <c r="I71" s="15">
        <v>0.5</v>
      </c>
      <c r="J71" s="15"/>
      <c r="K71" s="28"/>
      <c r="L71" s="43"/>
      <c r="M71" s="43"/>
    </row>
    <row r="72" spans="1:13" ht="26.25" customHeight="1">
      <c r="A72" s="645" t="s">
        <v>55</v>
      </c>
      <c r="B72" s="645"/>
      <c r="C72" s="645"/>
      <c r="D72" s="645"/>
      <c r="E72" s="645"/>
      <c r="F72" s="645"/>
      <c r="G72" s="20" t="s">
        <v>56</v>
      </c>
      <c r="H72" s="15">
        <f>20*150</f>
        <v>3000</v>
      </c>
      <c r="I72" s="15">
        <v>0.5</v>
      </c>
      <c r="J72" s="15"/>
      <c r="K72" s="28"/>
    </row>
    <row r="73" spans="1:13" ht="25.5" customHeight="1">
      <c r="A73" s="675" t="s">
        <v>57</v>
      </c>
      <c r="B73" s="675"/>
      <c r="C73" s="675"/>
      <c r="D73" s="675"/>
      <c r="E73" s="675"/>
      <c r="F73" s="675"/>
      <c r="G73" s="52" t="s">
        <v>15</v>
      </c>
      <c r="H73" s="53">
        <v>43000</v>
      </c>
      <c r="I73" s="48">
        <v>0.5</v>
      </c>
      <c r="J73" s="48"/>
      <c r="K73" s="28"/>
    </row>
    <row r="74" spans="1:13" ht="29.25" customHeight="1">
      <c r="A74" s="656" t="s">
        <v>58</v>
      </c>
      <c r="B74" s="657"/>
      <c r="C74" s="657"/>
      <c r="D74" s="657"/>
      <c r="E74" s="657"/>
      <c r="F74" s="658"/>
      <c r="G74" s="52" t="s">
        <v>59</v>
      </c>
      <c r="H74" s="54">
        <f>H73*18%</f>
        <v>7740</v>
      </c>
      <c r="I74" s="54">
        <v>0.5</v>
      </c>
      <c r="J74" s="55"/>
      <c r="K74" s="28"/>
    </row>
    <row r="75" spans="1:13" ht="15" customHeight="1">
      <c r="A75" s="47"/>
      <c r="B75" s="47"/>
      <c r="C75" s="47"/>
      <c r="D75" s="47"/>
      <c r="E75" s="47"/>
      <c r="F75" s="47"/>
      <c r="G75" s="47"/>
      <c r="H75" s="47"/>
      <c r="I75" s="47"/>
      <c r="J75" s="47"/>
    </row>
    <row r="76" spans="1:13" ht="15" customHeight="1">
      <c r="A76" s="47"/>
      <c r="B76" s="47"/>
      <c r="C76" s="47"/>
      <c r="D76" s="47"/>
      <c r="E76" s="47"/>
      <c r="F76" s="47"/>
      <c r="G76" s="47"/>
      <c r="H76" s="47"/>
      <c r="I76" s="47"/>
      <c r="J76" s="47"/>
    </row>
    <row r="77" spans="1:13" ht="33" customHeight="1">
      <c r="A77" s="661" t="s">
        <v>60</v>
      </c>
      <c r="B77" s="661"/>
      <c r="C77" s="661"/>
      <c r="D77" s="661"/>
      <c r="E77" s="661"/>
      <c r="F77" s="661"/>
      <c r="G77" s="661"/>
      <c r="H77" s="661"/>
      <c r="I77" s="661"/>
      <c r="J77" s="661"/>
    </row>
    <row r="78" spans="1:13" ht="15" customHeight="1" thickBot="1">
      <c r="A78" s="682" t="s">
        <v>61</v>
      </c>
      <c r="B78" s="682"/>
      <c r="C78" s="682"/>
      <c r="D78" s="682"/>
      <c r="E78" s="682"/>
      <c r="F78" s="682"/>
    </row>
    <row r="79" spans="1:13" ht="25.5">
      <c r="A79" s="641" t="s">
        <v>5</v>
      </c>
      <c r="B79" s="641"/>
      <c r="C79" s="641"/>
      <c r="D79" s="641"/>
      <c r="E79" s="641"/>
      <c r="F79" s="641"/>
      <c r="G79" s="56" t="s">
        <v>6</v>
      </c>
      <c r="H79" s="13" t="s">
        <v>7</v>
      </c>
      <c r="I79" s="10" t="s">
        <v>8</v>
      </c>
      <c r="J79" s="11" t="s">
        <v>9</v>
      </c>
    </row>
    <row r="80" spans="1:13">
      <c r="A80" s="683" t="s">
        <v>62</v>
      </c>
      <c r="B80" s="684"/>
      <c r="C80" s="684"/>
      <c r="D80" s="684"/>
      <c r="E80" s="684"/>
      <c r="F80" s="685"/>
      <c r="G80" s="57"/>
      <c r="H80" s="58"/>
      <c r="I80" s="10"/>
      <c r="J80" s="11"/>
    </row>
    <row r="81" spans="1:17" ht="25.5">
      <c r="A81" s="686" t="s">
        <v>63</v>
      </c>
      <c r="B81" s="687"/>
      <c r="C81" s="687"/>
      <c r="D81" s="687"/>
      <c r="E81" s="687"/>
      <c r="F81" s="688"/>
      <c r="G81" s="59" t="s">
        <v>15</v>
      </c>
      <c r="H81" s="60">
        <v>10000</v>
      </c>
      <c r="I81" s="548">
        <v>0.5</v>
      </c>
      <c r="J81" s="548"/>
      <c r="K81" s="644"/>
      <c r="M81" s="22"/>
    </row>
    <row r="82" spans="1:17">
      <c r="A82" s="689"/>
      <c r="B82" s="690"/>
      <c r="C82" s="690"/>
      <c r="D82" s="690"/>
      <c r="E82" s="690"/>
      <c r="F82" s="691"/>
      <c r="G82" s="59" t="s">
        <v>17</v>
      </c>
      <c r="H82" s="61">
        <f>H81*18%</f>
        <v>1800</v>
      </c>
      <c r="I82" s="547"/>
      <c r="J82" s="547"/>
      <c r="K82" s="644"/>
    </row>
    <row r="83" spans="1:17" ht="25.5">
      <c r="A83" s="686" t="s">
        <v>64</v>
      </c>
      <c r="B83" s="687"/>
      <c r="C83" s="687"/>
      <c r="D83" s="687"/>
      <c r="E83" s="687"/>
      <c r="F83" s="688"/>
      <c r="G83" s="59" t="s">
        <v>15</v>
      </c>
      <c r="H83" s="60">
        <v>20000</v>
      </c>
      <c r="I83" s="548">
        <v>0.5</v>
      </c>
      <c r="J83" s="548"/>
      <c r="K83" s="644"/>
      <c r="M83" s="22"/>
      <c r="P83" s="22"/>
      <c r="Q83" s="22"/>
    </row>
    <row r="84" spans="1:17">
      <c r="A84" s="689"/>
      <c r="B84" s="690"/>
      <c r="C84" s="690"/>
      <c r="D84" s="690"/>
      <c r="E84" s="690"/>
      <c r="F84" s="691"/>
      <c r="G84" s="59" t="s">
        <v>17</v>
      </c>
      <c r="H84" s="61">
        <f>H83*18%</f>
        <v>3600</v>
      </c>
      <c r="I84" s="547"/>
      <c r="J84" s="547"/>
      <c r="K84" s="644"/>
    </row>
    <row r="85" spans="1:17" ht="25.5">
      <c r="A85" s="686" t="s">
        <v>65</v>
      </c>
      <c r="B85" s="687"/>
      <c r="C85" s="687"/>
      <c r="D85" s="687"/>
      <c r="E85" s="687"/>
      <c r="F85" s="688"/>
      <c r="G85" s="59" t="s">
        <v>15</v>
      </c>
      <c r="H85" s="60">
        <v>10000</v>
      </c>
      <c r="I85" s="548">
        <v>0.5</v>
      </c>
      <c r="J85" s="548"/>
      <c r="K85" s="644"/>
      <c r="M85" s="22"/>
    </row>
    <row r="86" spans="1:17">
      <c r="A86" s="689"/>
      <c r="B86" s="690"/>
      <c r="C86" s="690"/>
      <c r="D86" s="690"/>
      <c r="E86" s="690"/>
      <c r="F86" s="691"/>
      <c r="G86" s="59" t="s">
        <v>17</v>
      </c>
      <c r="H86" s="61">
        <f>H85*18%</f>
        <v>1800</v>
      </c>
      <c r="I86" s="547"/>
      <c r="J86" s="547"/>
      <c r="K86" s="644"/>
    </row>
    <row r="87" spans="1:17" ht="24" customHeight="1">
      <c r="A87" s="692" t="s">
        <v>66</v>
      </c>
      <c r="B87" s="692"/>
      <c r="C87" s="692"/>
      <c r="D87" s="692"/>
      <c r="E87" s="692"/>
      <c r="F87" s="692"/>
      <c r="G87" s="59" t="s">
        <v>15</v>
      </c>
      <c r="H87" s="62">
        <v>5000</v>
      </c>
      <c r="I87" s="548">
        <v>0.5</v>
      </c>
      <c r="J87" s="548"/>
      <c r="K87" s="644"/>
      <c r="N87" s="22"/>
    </row>
    <row r="88" spans="1:17">
      <c r="A88" s="692"/>
      <c r="B88" s="692"/>
      <c r="C88" s="692"/>
      <c r="D88" s="692"/>
      <c r="E88" s="692"/>
      <c r="F88" s="692"/>
      <c r="G88" s="59" t="s">
        <v>17</v>
      </c>
      <c r="H88" s="61">
        <f>H87*0%</f>
        <v>0</v>
      </c>
      <c r="I88" s="547"/>
      <c r="J88" s="547"/>
      <c r="K88" s="644"/>
    </row>
    <row r="89" spans="1:17" ht="25.5" customHeight="1">
      <c r="A89" s="693" t="s">
        <v>67</v>
      </c>
      <c r="B89" s="693"/>
      <c r="C89" s="693"/>
      <c r="D89" s="693"/>
      <c r="E89" s="693"/>
      <c r="F89" s="693"/>
      <c r="G89" s="59" t="s">
        <v>15</v>
      </c>
      <c r="H89" s="60">
        <v>8000</v>
      </c>
      <c r="I89" s="548">
        <v>0.5</v>
      </c>
      <c r="J89" s="548"/>
      <c r="K89" s="644"/>
    </row>
    <row r="90" spans="1:17" ht="51">
      <c r="A90" s="693"/>
      <c r="B90" s="693"/>
      <c r="C90" s="693"/>
      <c r="D90" s="693"/>
      <c r="E90" s="693"/>
      <c r="F90" s="693"/>
      <c r="G90" s="59" t="s">
        <v>17</v>
      </c>
      <c r="H90" s="62" t="s">
        <v>27</v>
      </c>
      <c r="I90" s="547"/>
      <c r="J90" s="547"/>
      <c r="K90" s="644"/>
      <c r="O90" s="22"/>
    </row>
    <row r="91" spans="1:17">
      <c r="A91" s="700"/>
      <c r="B91" s="700"/>
      <c r="C91" s="700"/>
      <c r="D91" s="700"/>
      <c r="E91" s="700"/>
      <c r="F91" s="700"/>
      <c r="G91" s="63"/>
      <c r="H91" s="64"/>
      <c r="I91" s="28"/>
      <c r="J91" s="28"/>
      <c r="K91" s="28"/>
    </row>
    <row r="92" spans="1:17">
      <c r="A92" s="701" t="s">
        <v>68</v>
      </c>
      <c r="B92" s="701"/>
      <c r="C92" s="701"/>
      <c r="D92" s="701"/>
      <c r="E92" s="701"/>
      <c r="F92" s="701"/>
      <c r="G92" s="29"/>
      <c r="H92" s="65"/>
      <c r="I92" s="28"/>
      <c r="J92" s="28"/>
      <c r="K92" s="28"/>
    </row>
    <row r="93" spans="1:17" ht="24">
      <c r="A93" s="694" t="s">
        <v>69</v>
      </c>
      <c r="B93" s="695"/>
      <c r="C93" s="695"/>
      <c r="D93" s="695"/>
      <c r="E93" s="695"/>
      <c r="F93" s="696"/>
      <c r="G93" s="66" t="s">
        <v>15</v>
      </c>
      <c r="H93" s="67">
        <v>25000</v>
      </c>
      <c r="I93" s="548">
        <v>0.5</v>
      </c>
      <c r="J93" s="548"/>
      <c r="K93" s="644"/>
    </row>
    <row r="94" spans="1:17" ht="40.5" customHeight="1">
      <c r="A94" s="697"/>
      <c r="B94" s="698"/>
      <c r="C94" s="698"/>
      <c r="D94" s="698"/>
      <c r="E94" s="698"/>
      <c r="F94" s="699"/>
      <c r="G94" s="66" t="s">
        <v>17</v>
      </c>
      <c r="H94" s="68" t="s">
        <v>70</v>
      </c>
      <c r="I94" s="547"/>
      <c r="J94" s="547"/>
      <c r="K94" s="644"/>
    </row>
    <row r="95" spans="1:17" ht="24">
      <c r="A95" s="694" t="s">
        <v>71</v>
      </c>
      <c r="B95" s="695"/>
      <c r="C95" s="695"/>
      <c r="D95" s="695"/>
      <c r="E95" s="695"/>
      <c r="F95" s="696"/>
      <c r="G95" s="66" t="s">
        <v>15</v>
      </c>
      <c r="H95" s="67">
        <v>7000</v>
      </c>
      <c r="I95" s="548">
        <v>0.5</v>
      </c>
      <c r="J95" s="548"/>
      <c r="K95" s="644"/>
      <c r="N95" s="22"/>
    </row>
    <row r="96" spans="1:17">
      <c r="A96" s="697"/>
      <c r="B96" s="698"/>
      <c r="C96" s="698"/>
      <c r="D96" s="698"/>
      <c r="E96" s="698"/>
      <c r="F96" s="699"/>
      <c r="G96" s="66" t="s">
        <v>17</v>
      </c>
      <c r="H96" s="68">
        <f>H95*0%</f>
        <v>0</v>
      </c>
      <c r="I96" s="547"/>
      <c r="J96" s="547"/>
      <c r="K96" s="644"/>
    </row>
    <row r="97" spans="1:15" ht="24" customHeight="1">
      <c r="A97" s="694" t="s">
        <v>72</v>
      </c>
      <c r="B97" s="695"/>
      <c r="C97" s="695"/>
      <c r="D97" s="695"/>
      <c r="E97" s="695"/>
      <c r="F97" s="696"/>
      <c r="G97" s="66" t="s">
        <v>15</v>
      </c>
      <c r="H97" s="67">
        <v>3000</v>
      </c>
      <c r="I97" s="548">
        <v>0.5</v>
      </c>
      <c r="J97" s="548"/>
      <c r="K97" s="644"/>
      <c r="M97" s="22"/>
    </row>
    <row r="98" spans="1:15">
      <c r="A98" s="697"/>
      <c r="B98" s="698"/>
      <c r="C98" s="698"/>
      <c r="D98" s="698"/>
      <c r="E98" s="698"/>
      <c r="F98" s="699"/>
      <c r="G98" s="66" t="s">
        <v>17</v>
      </c>
      <c r="H98" s="68">
        <f>H97*18%</f>
        <v>540</v>
      </c>
      <c r="I98" s="547"/>
      <c r="J98" s="547"/>
      <c r="K98" s="644"/>
      <c r="O98" s="69"/>
    </row>
    <row r="99" spans="1:15" ht="30" customHeight="1"/>
    <row r="100" spans="1:15" ht="15" customHeight="1" thickBot="1">
      <c r="A100" s="706" t="s">
        <v>73</v>
      </c>
      <c r="B100" s="706"/>
      <c r="C100" s="706"/>
      <c r="D100" s="706"/>
      <c r="E100" s="706"/>
      <c r="F100" s="70"/>
      <c r="G100" s="70"/>
      <c r="H100" s="70"/>
      <c r="I100" s="70"/>
      <c r="J100" s="70"/>
    </row>
    <row r="101" spans="1:15" ht="30">
      <c r="A101" s="707" t="s">
        <v>5</v>
      </c>
      <c r="B101" s="708"/>
      <c r="C101" s="708"/>
      <c r="D101" s="708"/>
      <c r="E101" s="709"/>
      <c r="F101" s="707" t="s">
        <v>6</v>
      </c>
      <c r="G101" s="709"/>
      <c r="H101" s="71" t="s">
        <v>7</v>
      </c>
      <c r="I101" s="72" t="s">
        <v>8</v>
      </c>
      <c r="J101" s="73" t="s">
        <v>9</v>
      </c>
    </row>
    <row r="102" spans="1:15" ht="35.25" customHeight="1">
      <c r="A102" s="676" t="s">
        <v>74</v>
      </c>
      <c r="B102" s="677"/>
      <c r="C102" s="677"/>
      <c r="D102" s="677"/>
      <c r="E102" s="678"/>
      <c r="F102" s="676" t="s">
        <v>75</v>
      </c>
      <c r="G102" s="678"/>
      <c r="H102" s="74">
        <f>100-2</f>
        <v>98</v>
      </c>
      <c r="I102" s="72">
        <v>0.5</v>
      </c>
      <c r="J102" s="73"/>
    </row>
    <row r="103" spans="1:15" ht="42" customHeight="1">
      <c r="A103" s="710" t="s">
        <v>76</v>
      </c>
      <c r="B103" s="710"/>
      <c r="C103" s="710"/>
      <c r="D103" s="710"/>
      <c r="E103" s="710"/>
      <c r="F103" s="710" t="s">
        <v>77</v>
      </c>
      <c r="G103" s="710"/>
      <c r="H103" s="75">
        <v>4576.2700000000004</v>
      </c>
      <c r="I103" s="49">
        <v>0.5</v>
      </c>
      <c r="J103" s="49"/>
    </row>
    <row r="104" spans="1:15" ht="15" hidden="1" customHeight="1" thickBot="1">
      <c r="A104" s="76"/>
      <c r="B104" s="76"/>
      <c r="C104" s="76"/>
      <c r="D104" s="76"/>
      <c r="E104" s="76"/>
      <c r="F104" s="76"/>
      <c r="G104" s="76"/>
      <c r="H104" s="76"/>
      <c r="I104" s="77"/>
      <c r="J104" s="43"/>
      <c r="K104" s="28"/>
    </row>
    <row r="105" spans="1:15" ht="35.450000000000003" customHeight="1">
      <c r="A105" s="702"/>
      <c r="B105" s="702"/>
      <c r="C105" s="702"/>
      <c r="D105" s="702"/>
      <c r="E105" s="702"/>
      <c r="F105" s="702"/>
      <c r="G105" s="702"/>
      <c r="H105" s="702"/>
      <c r="I105" s="77"/>
      <c r="J105" s="43"/>
      <c r="K105" s="28"/>
      <c r="M105" s="22"/>
      <c r="N105" s="22"/>
      <c r="O105" s="22"/>
    </row>
    <row r="106" spans="1:15" ht="18" customHeight="1">
      <c r="A106" s="703"/>
      <c r="B106" s="703"/>
      <c r="C106" s="703"/>
      <c r="D106" s="703"/>
      <c r="E106" s="703"/>
      <c r="F106" s="703"/>
      <c r="G106" s="703"/>
      <c r="H106" s="703"/>
      <c r="I106" s="78"/>
      <c r="J106" s="43"/>
      <c r="K106" s="28"/>
    </row>
    <row r="107" spans="1:15">
      <c r="A107" s="43"/>
      <c r="B107" s="43"/>
      <c r="C107" s="43"/>
      <c r="D107" s="43"/>
      <c r="E107" s="43" t="s">
        <v>32</v>
      </c>
      <c r="F107" s="43"/>
      <c r="G107" s="43"/>
      <c r="H107" s="43"/>
      <c r="I107" s="43"/>
      <c r="J107" s="43"/>
      <c r="K107" s="28"/>
    </row>
    <row r="108" spans="1:15">
      <c r="A108" s="43"/>
      <c r="B108" s="43"/>
      <c r="C108" s="43"/>
      <c r="D108" s="43"/>
      <c r="E108" s="43"/>
      <c r="F108" s="43"/>
      <c r="G108" s="43"/>
      <c r="H108" s="43"/>
      <c r="I108" s="43"/>
      <c r="J108" s="43"/>
      <c r="K108" s="28"/>
    </row>
    <row r="109" spans="1:15">
      <c r="A109" s="43"/>
      <c r="B109" s="43"/>
      <c r="C109" s="43"/>
      <c r="D109" s="43"/>
      <c r="E109" s="43"/>
      <c r="F109" s="43"/>
      <c r="G109" s="43"/>
      <c r="H109" s="79"/>
      <c r="I109" s="79"/>
      <c r="J109" s="43"/>
      <c r="K109" s="28"/>
    </row>
    <row r="110" spans="1:15">
      <c r="A110" s="43"/>
      <c r="B110" s="43"/>
      <c r="C110" s="43"/>
      <c r="D110" s="43"/>
      <c r="E110" s="43"/>
      <c r="F110" s="43"/>
      <c r="G110" s="43"/>
      <c r="H110" s="43"/>
      <c r="I110" s="79"/>
      <c r="J110" s="43"/>
      <c r="K110" s="28"/>
    </row>
    <row r="111" spans="1:15">
      <c r="A111" s="660"/>
      <c r="B111" s="660"/>
      <c r="C111" s="660"/>
      <c r="D111" s="660"/>
      <c r="E111" s="660"/>
      <c r="F111" s="704"/>
      <c r="G111" s="704"/>
      <c r="H111" s="705"/>
      <c r="I111" s="660"/>
    </row>
    <row r="112" spans="1:15">
      <c r="A112" s="660"/>
      <c r="B112" s="660"/>
      <c r="C112" s="660"/>
      <c r="D112" s="660"/>
      <c r="E112" s="660"/>
      <c r="F112" s="704"/>
      <c r="G112" s="704"/>
      <c r="H112" s="705"/>
      <c r="I112" s="660"/>
      <c r="L112" s="2" t="s">
        <v>32</v>
      </c>
    </row>
  </sheetData>
  <mergeCells count="120">
    <mergeCell ref="A105:H105"/>
    <mergeCell ref="A106:H106"/>
    <mergeCell ref="A111:E112"/>
    <mergeCell ref="F111:G112"/>
    <mergeCell ref="H111:H112"/>
    <mergeCell ref="I111:I112"/>
    <mergeCell ref="A100:E100"/>
    <mergeCell ref="A101:E101"/>
    <mergeCell ref="F101:G101"/>
    <mergeCell ref="A102:E102"/>
    <mergeCell ref="F102:G102"/>
    <mergeCell ref="A103:E103"/>
    <mergeCell ref="F103:G103"/>
    <mergeCell ref="A95:F96"/>
    <mergeCell ref="I95:I96"/>
    <mergeCell ref="J95:J96"/>
    <mergeCell ref="K95:K96"/>
    <mergeCell ref="A97:F98"/>
    <mergeCell ref="I97:I98"/>
    <mergeCell ref="J97:J98"/>
    <mergeCell ref="K97:K98"/>
    <mergeCell ref="A91:F91"/>
    <mergeCell ref="A92:F92"/>
    <mergeCell ref="A93:F94"/>
    <mergeCell ref="I93:I94"/>
    <mergeCell ref="J93:J94"/>
    <mergeCell ref="K93:K94"/>
    <mergeCell ref="A87:F88"/>
    <mergeCell ref="I87:I88"/>
    <mergeCell ref="J87:J88"/>
    <mergeCell ref="K87:K88"/>
    <mergeCell ref="A89:F90"/>
    <mergeCell ref="I89:I90"/>
    <mergeCell ref="J89:J90"/>
    <mergeCell ref="K89:K90"/>
    <mergeCell ref="K81:K82"/>
    <mergeCell ref="A83:F84"/>
    <mergeCell ref="I83:I84"/>
    <mergeCell ref="J83:J84"/>
    <mergeCell ref="K83:K84"/>
    <mergeCell ref="A85:F86"/>
    <mergeCell ref="I85:I86"/>
    <mergeCell ref="J85:J86"/>
    <mergeCell ref="K85:K86"/>
    <mergeCell ref="A78:F78"/>
    <mergeCell ref="A79:F79"/>
    <mergeCell ref="A80:F80"/>
    <mergeCell ref="A81:F82"/>
    <mergeCell ref="I81:I82"/>
    <mergeCell ref="J81:J82"/>
    <mergeCell ref="A70:F70"/>
    <mergeCell ref="A71:F71"/>
    <mergeCell ref="A72:F72"/>
    <mergeCell ref="A73:F73"/>
    <mergeCell ref="A74:F74"/>
    <mergeCell ref="A77:J77"/>
    <mergeCell ref="A63:E63"/>
    <mergeCell ref="A64:F64"/>
    <mergeCell ref="A65:F65"/>
    <mergeCell ref="A66:F66"/>
    <mergeCell ref="A67:F67"/>
    <mergeCell ref="A69:F69"/>
    <mergeCell ref="A56:J56"/>
    <mergeCell ref="A57:F57"/>
    <mergeCell ref="A58:F58"/>
    <mergeCell ref="A59:F60"/>
    <mergeCell ref="J59:J60"/>
    <mergeCell ref="A62:J62"/>
    <mergeCell ref="A51:F52"/>
    <mergeCell ref="I51:I52"/>
    <mergeCell ref="J51:J52"/>
    <mergeCell ref="K51:K52"/>
    <mergeCell ref="A53:F54"/>
    <mergeCell ref="I53:I54"/>
    <mergeCell ref="J53:J54"/>
    <mergeCell ref="K53:K54"/>
    <mergeCell ref="A45:F45"/>
    <mergeCell ref="A46:F47"/>
    <mergeCell ref="I46:I47"/>
    <mergeCell ref="J46:J47"/>
    <mergeCell ref="K46:K47"/>
    <mergeCell ref="A50:J50"/>
    <mergeCell ref="A37:J37"/>
    <mergeCell ref="A38:F38"/>
    <mergeCell ref="A39:F40"/>
    <mergeCell ref="J39:J40"/>
    <mergeCell ref="A41:F41"/>
    <mergeCell ref="A43:J43"/>
    <mergeCell ref="A32:F32"/>
    <mergeCell ref="A33:F33"/>
    <mergeCell ref="A34:F35"/>
    <mergeCell ref="I34:I35"/>
    <mergeCell ref="J34:J35"/>
    <mergeCell ref="K34:K35"/>
    <mergeCell ref="K24:K25"/>
    <mergeCell ref="A25:F25"/>
    <mergeCell ref="A26:F26"/>
    <mergeCell ref="I26:I27"/>
    <mergeCell ref="J26:J27"/>
    <mergeCell ref="K26:K27"/>
    <mergeCell ref="A27:F27"/>
    <mergeCell ref="A18:F19"/>
    <mergeCell ref="J18:J19"/>
    <mergeCell ref="A22:F22"/>
    <mergeCell ref="A23:F23"/>
    <mergeCell ref="A24:F24"/>
    <mergeCell ref="I24:I25"/>
    <mergeCell ref="J24:J25"/>
    <mergeCell ref="A10:F10"/>
    <mergeCell ref="A11:F11"/>
    <mergeCell ref="A12:F12"/>
    <mergeCell ref="A15:J15"/>
    <mergeCell ref="A16:F16"/>
    <mergeCell ref="A17:F17"/>
    <mergeCell ref="A1:J1"/>
    <mergeCell ref="B2:J2"/>
    <mergeCell ref="A4:J4"/>
    <mergeCell ref="A7:G7"/>
    <mergeCell ref="A8:F8"/>
    <mergeCell ref="A9:F9"/>
  </mergeCells>
  <printOptions horizontalCentered="1"/>
  <pageMargins left="0" right="0" top="0" bottom="0"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Worksheet____1"/>
  <dimension ref="A1:AC20"/>
  <sheetViews>
    <sheetView workbookViewId="0">
      <selection activeCell="A23" sqref="A23:C25"/>
    </sheetView>
  </sheetViews>
  <sheetFormatPr defaultColWidth="8.85546875" defaultRowHeight="15"/>
  <cols>
    <col min="1" max="1" width="36.140625" style="80" customWidth="1"/>
    <col min="2" max="2" width="4.140625" style="81" customWidth="1"/>
    <col min="3" max="3" width="18.5703125" style="80" customWidth="1"/>
    <col min="4" max="4" width="4.28515625" style="80" customWidth="1"/>
    <col min="5" max="5" width="11.28515625" style="80" customWidth="1"/>
    <col min="6" max="6" width="4.7109375" style="80" customWidth="1"/>
    <col min="7" max="7" width="12.85546875" style="80" customWidth="1"/>
    <col min="8" max="8" width="4.28515625" style="81" customWidth="1"/>
    <col min="9" max="21" width="8.42578125" style="80" customWidth="1"/>
    <col min="22" max="22" width="4.7109375" style="80" customWidth="1"/>
    <col min="23" max="23" width="9.7109375" style="80" hidden="1" customWidth="1"/>
    <col min="24" max="24" width="5.42578125" style="80" hidden="1" customWidth="1"/>
    <col min="25" max="27" width="9.7109375" style="80" hidden="1" customWidth="1"/>
    <col min="28" max="31" width="0" style="80" hidden="1" customWidth="1"/>
    <col min="32" max="16384" width="8.85546875" style="80"/>
  </cols>
  <sheetData>
    <row r="1" spans="1:29">
      <c r="A1" s="633" t="s">
        <v>78</v>
      </c>
      <c r="B1" s="633"/>
      <c r="C1" s="633"/>
      <c r="D1" s="633"/>
      <c r="E1" s="633"/>
      <c r="F1" s="633"/>
      <c r="G1" s="633"/>
      <c r="H1" s="633"/>
      <c r="I1" s="633"/>
    </row>
    <row r="2" spans="1:29" ht="15.75" thickBot="1">
      <c r="B2" s="715" t="s">
        <v>79</v>
      </c>
      <c r="C2" s="715"/>
      <c r="D2" s="715"/>
    </row>
    <row r="3" spans="1:29" ht="37.9" customHeight="1">
      <c r="A3" s="716" t="s">
        <v>80</v>
      </c>
      <c r="B3" s="717"/>
      <c r="C3" s="718"/>
      <c r="D3" s="719" t="s">
        <v>81</v>
      </c>
      <c r="E3" s="719"/>
      <c r="F3" s="720" t="s">
        <v>82</v>
      </c>
      <c r="G3" s="717"/>
      <c r="H3" s="82" t="s">
        <v>8</v>
      </c>
      <c r="I3" s="83" t="s">
        <v>9</v>
      </c>
      <c r="J3" s="84"/>
      <c r="K3" s="84"/>
      <c r="L3" s="84"/>
      <c r="M3" s="84"/>
      <c r="N3" s="84"/>
      <c r="O3" s="84"/>
      <c r="P3" s="84"/>
      <c r="Q3" s="84"/>
      <c r="R3" s="84"/>
      <c r="S3" s="84"/>
      <c r="T3" s="84"/>
      <c r="U3" s="84"/>
      <c r="V3" s="84"/>
      <c r="W3" s="84"/>
      <c r="X3" s="84"/>
      <c r="Y3" s="85"/>
      <c r="Z3" s="86"/>
    </row>
    <row r="4" spans="1:29">
      <c r="A4" s="721">
        <v>1</v>
      </c>
      <c r="B4" s="722"/>
      <c r="C4" s="722"/>
      <c r="D4" s="722">
        <v>2</v>
      </c>
      <c r="E4" s="722"/>
      <c r="F4" s="723">
        <v>3</v>
      </c>
      <c r="G4" s="724"/>
      <c r="H4" s="87"/>
      <c r="I4" s="88"/>
      <c r="J4" s="89"/>
      <c r="K4" s="89"/>
      <c r="L4" s="89"/>
      <c r="M4" s="89"/>
      <c r="N4" s="89"/>
      <c r="O4" s="89"/>
      <c r="P4" s="89"/>
      <c r="Q4" s="89"/>
      <c r="R4" s="89"/>
      <c r="S4" s="89"/>
      <c r="T4" s="89"/>
      <c r="U4" s="89"/>
      <c r="V4" s="89"/>
      <c r="W4" s="89"/>
      <c r="X4" s="89"/>
      <c r="Y4" s="90"/>
      <c r="Z4" s="86"/>
      <c r="AB4" s="500"/>
      <c r="AC4" s="725"/>
    </row>
    <row r="5" spans="1:29" ht="75" customHeight="1">
      <c r="A5" s="91" t="s">
        <v>83</v>
      </c>
      <c r="B5" s="92"/>
      <c r="C5" s="93"/>
      <c r="D5" s="94">
        <v>1</v>
      </c>
      <c r="E5" s="95">
        <f>C6*18%</f>
        <v>76802.03389830509</v>
      </c>
      <c r="F5" s="96"/>
      <c r="G5" s="97"/>
      <c r="H5" s="98">
        <v>0.5</v>
      </c>
      <c r="I5" s="98"/>
      <c r="J5" s="99"/>
      <c r="K5" s="99"/>
      <c r="L5" s="99"/>
      <c r="M5" s="99"/>
      <c r="N5" s="99"/>
      <c r="O5" s="99"/>
      <c r="P5" s="99"/>
      <c r="Q5" s="99"/>
      <c r="R5" s="99"/>
      <c r="S5" s="99"/>
      <c r="T5" s="99"/>
      <c r="U5" s="99"/>
      <c r="V5" s="99"/>
      <c r="W5" s="99"/>
      <c r="X5" s="99"/>
      <c r="Y5" s="99"/>
      <c r="Z5" s="99"/>
    </row>
    <row r="6" spans="1:29" ht="28.9" customHeight="1">
      <c r="A6" s="100" t="s">
        <v>84</v>
      </c>
      <c r="B6" s="101">
        <v>2</v>
      </c>
      <c r="C6" s="102">
        <f>'დღგ- სამუშაო რვეული'!H24+'დღგ- სამუშაო რვეული'!H51+'დღგ- სამუშაო რვეული'!H73+'დღგ- სამუშაო რვეული'!H81+'დღგ- სამუშაო რვეული'!H83+'დღგ- სამუშაო რვეული'!H85+'დღგ- სამუშაო რვეული'!H97</f>
        <v>426677.96610169497</v>
      </c>
      <c r="D6" s="103"/>
      <c r="E6" s="103"/>
      <c r="F6" s="104"/>
      <c r="G6" s="103"/>
      <c r="H6" s="98">
        <v>0.5</v>
      </c>
      <c r="I6" s="105"/>
      <c r="J6" s="106"/>
      <c r="K6" s="106"/>
      <c r="L6" s="106"/>
      <c r="M6" s="106"/>
      <c r="N6" s="106"/>
      <c r="O6" s="106"/>
      <c r="P6" s="106"/>
      <c r="Q6" s="106"/>
      <c r="R6" s="106"/>
      <c r="S6" s="106"/>
      <c r="T6" s="106"/>
      <c r="U6" s="106"/>
      <c r="V6" s="106"/>
      <c r="W6" s="106"/>
      <c r="X6" s="106"/>
      <c r="Y6" s="106"/>
      <c r="Z6" s="106"/>
    </row>
    <row r="7" spans="1:29" ht="30" customHeight="1">
      <c r="A7" s="107" t="s">
        <v>85</v>
      </c>
      <c r="B7" s="101">
        <v>3</v>
      </c>
      <c r="C7" s="102">
        <f>'დღგ- სამუშაო რვეული'!H46+'დღგ- სამუშაო რვეული'!H53+'დღგ- სამუშაო რვეული'!H95</f>
        <v>11610</v>
      </c>
      <c r="D7" s="103"/>
      <c r="E7" s="103"/>
      <c r="F7" s="104"/>
      <c r="G7" s="103"/>
      <c r="H7" s="98">
        <v>0.5</v>
      </c>
      <c r="I7" s="105"/>
      <c r="J7" s="106"/>
      <c r="K7" s="106"/>
      <c r="L7" s="106"/>
      <c r="M7" s="106"/>
      <c r="N7" s="106"/>
      <c r="O7" s="106"/>
      <c r="P7" s="106"/>
      <c r="Q7" s="106"/>
      <c r="R7" s="106"/>
      <c r="S7" s="106"/>
      <c r="T7" s="106"/>
      <c r="U7" s="106"/>
      <c r="V7" s="106"/>
      <c r="W7" s="106"/>
      <c r="X7" s="106"/>
      <c r="Y7" s="106"/>
      <c r="Z7" s="106"/>
    </row>
    <row r="8" spans="1:29" ht="48">
      <c r="A8" s="91" t="s">
        <v>86</v>
      </c>
      <c r="B8" s="101">
        <v>3</v>
      </c>
      <c r="C8" s="102">
        <f>'დღგ- სამუშაო რვეული'!H59+'დღგ- სამუშაო რვეული'!H93</f>
        <v>37500</v>
      </c>
      <c r="D8" s="103"/>
      <c r="E8" s="103"/>
      <c r="F8" s="104"/>
      <c r="G8" s="103"/>
      <c r="H8" s="98">
        <v>0.5</v>
      </c>
      <c r="I8" s="105"/>
      <c r="J8" s="106"/>
      <c r="K8" s="106"/>
      <c r="L8" s="106"/>
      <c r="M8" s="106"/>
      <c r="N8" s="106"/>
      <c r="O8" s="106"/>
      <c r="P8" s="106"/>
      <c r="Q8" s="106"/>
      <c r="R8" s="106"/>
      <c r="S8" s="106"/>
      <c r="T8" s="106"/>
      <c r="U8" s="106"/>
      <c r="V8" s="106"/>
      <c r="W8" s="106"/>
      <c r="X8" s="106"/>
      <c r="Y8" s="106"/>
      <c r="Z8" s="106"/>
    </row>
    <row r="9" spans="1:29" ht="86.45" customHeight="1">
      <c r="A9" s="108" t="s">
        <v>87</v>
      </c>
      <c r="B9" s="101">
        <v>41</v>
      </c>
      <c r="C9" s="109"/>
      <c r="D9" s="103"/>
      <c r="E9" s="103"/>
      <c r="F9" s="104"/>
      <c r="G9" s="103"/>
      <c r="H9" s="98"/>
      <c r="I9" s="105"/>
      <c r="J9" s="106"/>
      <c r="K9" s="106"/>
      <c r="L9" s="106"/>
      <c r="M9" s="106"/>
      <c r="N9" s="106"/>
      <c r="O9" s="106"/>
      <c r="P9" s="106"/>
      <c r="Q9" s="106"/>
      <c r="R9" s="106"/>
      <c r="S9" s="106"/>
      <c r="T9" s="106"/>
      <c r="U9" s="106"/>
      <c r="V9" s="106"/>
      <c r="W9" s="106"/>
      <c r="X9" s="106"/>
      <c r="Y9" s="106"/>
      <c r="Z9" s="106"/>
    </row>
    <row r="10" spans="1:29" ht="33" customHeight="1" thickBot="1">
      <c r="A10" s="107" t="s">
        <v>88</v>
      </c>
      <c r="B10" s="109">
        <v>5</v>
      </c>
      <c r="C10" s="102">
        <f>'დღგ- სამუშაო რვეული'!H89</f>
        <v>8000</v>
      </c>
      <c r="D10" s="103"/>
      <c r="E10" s="103"/>
      <c r="F10" s="110"/>
      <c r="G10" s="111"/>
      <c r="H10" s="98">
        <v>0.5</v>
      </c>
      <c r="I10" s="105"/>
      <c r="J10" s="106"/>
      <c r="K10" s="106"/>
      <c r="L10" s="106"/>
      <c r="M10" s="106"/>
      <c r="N10" s="106"/>
      <c r="O10" s="106"/>
      <c r="P10" s="106"/>
      <c r="Q10" s="106"/>
      <c r="R10" s="106"/>
      <c r="S10" s="106"/>
      <c r="T10" s="106"/>
      <c r="U10" s="106"/>
      <c r="V10" s="106"/>
      <c r="W10" s="106"/>
      <c r="X10" s="106"/>
      <c r="Y10" s="106"/>
      <c r="Z10" s="106"/>
    </row>
    <row r="11" spans="1:29" ht="27.6" customHeight="1" thickBot="1">
      <c r="A11" s="112" t="s">
        <v>89</v>
      </c>
      <c r="B11" s="113"/>
      <c r="C11" s="114"/>
      <c r="D11" s="115">
        <v>6</v>
      </c>
      <c r="E11" s="116"/>
      <c r="F11" s="115">
        <v>7</v>
      </c>
      <c r="G11" s="117"/>
      <c r="H11" s="118"/>
      <c r="I11" s="119"/>
      <c r="J11" s="120"/>
      <c r="K11" s="120"/>
      <c r="L11" s="120"/>
      <c r="M11" s="120"/>
      <c r="N11" s="120"/>
      <c r="O11" s="120"/>
      <c r="P11" s="120"/>
      <c r="Q11" s="120"/>
      <c r="R11" s="120"/>
      <c r="S11" s="120"/>
      <c r="T11" s="120"/>
      <c r="U11" s="120"/>
      <c r="V11" s="121"/>
      <c r="W11" s="122"/>
      <c r="X11" s="123"/>
      <c r="Y11" s="121">
        <v>-7</v>
      </c>
      <c r="Z11" s="122"/>
    </row>
    <row r="12" spans="1:29" ht="23.45" customHeight="1" thickBot="1">
      <c r="A12" s="107" t="s">
        <v>90</v>
      </c>
      <c r="B12" s="124"/>
      <c r="C12" s="125"/>
      <c r="D12" s="126">
        <v>8</v>
      </c>
      <c r="E12" s="127">
        <f>'დღგ- სამუშაო რვეული'!H19</f>
        <v>1645.9199999999998</v>
      </c>
      <c r="F12" s="128"/>
      <c r="G12" s="129"/>
      <c r="H12" s="130">
        <v>0.5</v>
      </c>
      <c r="I12" s="131"/>
      <c r="J12" s="132"/>
      <c r="K12" s="132"/>
      <c r="L12" s="132"/>
      <c r="M12" s="132"/>
      <c r="N12" s="132"/>
      <c r="O12" s="132"/>
      <c r="P12" s="132"/>
      <c r="Q12" s="132"/>
      <c r="R12" s="132"/>
      <c r="S12" s="132"/>
      <c r="T12" s="132"/>
      <c r="U12" s="132"/>
      <c r="V12" s="133"/>
      <c r="W12" s="134"/>
      <c r="X12" s="134"/>
      <c r="Y12" s="134"/>
      <c r="Z12" s="134"/>
    </row>
    <row r="13" spans="1:29" ht="26.25" thickBot="1">
      <c r="A13" s="100" t="s">
        <v>91</v>
      </c>
      <c r="B13" s="712"/>
      <c r="C13" s="712"/>
      <c r="D13" s="109">
        <v>9</v>
      </c>
      <c r="E13" s="109"/>
      <c r="F13" s="109">
        <v>10</v>
      </c>
      <c r="G13" s="135"/>
      <c r="H13" s="98"/>
      <c r="I13" s="136"/>
      <c r="J13" s="137"/>
      <c r="K13" s="137"/>
      <c r="L13" s="137"/>
      <c r="M13" s="137"/>
      <c r="N13" s="137"/>
      <c r="O13" s="137"/>
      <c r="P13" s="137"/>
      <c r="Q13" s="137"/>
      <c r="R13" s="137"/>
      <c r="S13" s="137"/>
      <c r="T13" s="137"/>
      <c r="U13" s="137"/>
      <c r="V13" s="123"/>
      <c r="W13" s="121">
        <v>-9</v>
      </c>
      <c r="X13" s="122"/>
      <c r="Y13" s="123"/>
      <c r="Z13" s="121">
        <v>-10</v>
      </c>
      <c r="AA13" s="122"/>
    </row>
    <row r="14" spans="1:29" ht="24.6" customHeight="1" thickBot="1">
      <c r="A14" s="100" t="s">
        <v>92</v>
      </c>
      <c r="B14" s="712"/>
      <c r="C14" s="712"/>
      <c r="D14" s="138"/>
      <c r="E14" s="139"/>
      <c r="F14" s="109">
        <v>11</v>
      </c>
      <c r="G14" s="95">
        <f>'დღგ- სამუშაო რვეული'!H12+'დღგ- სამუშაო რვეული'!H19+'დღგ- სამუშაო რვეული'!H67+'დღგ- სამუშაო რვეული'!H103</f>
        <v>26484.507399999999</v>
      </c>
      <c r="H14" s="98">
        <v>0.5</v>
      </c>
      <c r="I14" s="136"/>
      <c r="J14" s="137"/>
      <c r="K14" s="137"/>
      <c r="L14" s="137"/>
      <c r="M14" s="137"/>
      <c r="N14" s="137"/>
      <c r="O14" s="137"/>
      <c r="P14" s="137"/>
      <c r="Q14" s="137"/>
      <c r="R14" s="137"/>
      <c r="S14" s="137"/>
      <c r="T14" s="137"/>
      <c r="U14" s="137"/>
      <c r="V14" s="713"/>
      <c r="W14" s="714"/>
      <c r="X14" s="122"/>
      <c r="Y14" s="123"/>
      <c r="Z14" s="121">
        <v>-11</v>
      </c>
      <c r="AA14" s="122"/>
    </row>
    <row r="15" spans="1:29" ht="32.450000000000003" customHeight="1" thickBot="1">
      <c r="A15" s="107" t="s">
        <v>93</v>
      </c>
      <c r="B15" s="712"/>
      <c r="C15" s="712"/>
      <c r="D15" s="140">
        <v>12</v>
      </c>
      <c r="E15" s="102">
        <f>'დღგ- სამუშაო რვეული'!H35</f>
        <v>915.25423728813564</v>
      </c>
      <c r="F15" s="140">
        <v>13</v>
      </c>
      <c r="G15" s="141"/>
      <c r="H15" s="142">
        <v>0.5</v>
      </c>
      <c r="I15" s="143"/>
      <c r="J15" s="144"/>
      <c r="K15" s="144"/>
      <c r="L15" s="144"/>
      <c r="M15" s="144"/>
      <c r="N15" s="144"/>
      <c r="O15" s="144"/>
      <c r="P15" s="144"/>
      <c r="Q15" s="144"/>
      <c r="R15" s="144"/>
      <c r="S15" s="144"/>
      <c r="T15" s="144"/>
      <c r="U15" s="144"/>
      <c r="V15" s="145"/>
      <c r="W15" s="133">
        <v>-12</v>
      </c>
      <c r="X15" s="146"/>
      <c r="Y15" s="145"/>
      <c r="Z15" s="133">
        <v>-13</v>
      </c>
      <c r="AA15" s="146"/>
    </row>
    <row r="16" spans="1:29" ht="58.15" customHeight="1" thickBot="1">
      <c r="A16" s="100" t="s">
        <v>94</v>
      </c>
      <c r="B16" s="711"/>
      <c r="C16" s="712"/>
      <c r="D16" s="109">
        <v>14</v>
      </c>
      <c r="E16" s="147">
        <f>'დღგ- სამუშაო რვეული'!H40</f>
        <v>90</v>
      </c>
      <c r="F16" s="138"/>
      <c r="G16" s="148"/>
      <c r="H16" s="98">
        <v>0.5</v>
      </c>
      <c r="I16" s="136"/>
      <c r="J16" s="137"/>
      <c r="K16" s="137"/>
      <c r="L16" s="137"/>
      <c r="M16" s="137"/>
      <c r="N16" s="137"/>
      <c r="O16" s="137"/>
      <c r="P16" s="137"/>
      <c r="Q16" s="137"/>
      <c r="R16" s="137"/>
      <c r="S16" s="137"/>
      <c r="T16" s="137"/>
      <c r="U16" s="137"/>
      <c r="V16" s="123"/>
      <c r="W16" s="121">
        <v>-14</v>
      </c>
      <c r="X16" s="122"/>
      <c r="Y16" s="713"/>
      <c r="Z16" s="714"/>
      <c r="AA16" s="122"/>
    </row>
    <row r="17" spans="1:27" ht="24.75" thickBot="1">
      <c r="A17" s="149" t="s">
        <v>95</v>
      </c>
      <c r="B17" s="150">
        <v>141</v>
      </c>
      <c r="C17" s="151"/>
      <c r="D17" s="152"/>
      <c r="E17" s="153"/>
      <c r="F17" s="152"/>
      <c r="G17" s="154"/>
      <c r="H17" s="155"/>
      <c r="I17" s="131"/>
      <c r="J17" s="132"/>
      <c r="K17" s="132"/>
      <c r="L17" s="132"/>
      <c r="M17" s="132"/>
      <c r="N17" s="132"/>
      <c r="O17" s="132"/>
      <c r="P17" s="132"/>
      <c r="Q17" s="132"/>
      <c r="R17" s="132"/>
      <c r="S17" s="132"/>
      <c r="T17" s="132"/>
      <c r="U17" s="132"/>
      <c r="V17" s="726"/>
      <c r="W17" s="727"/>
      <c r="X17" s="146"/>
      <c r="Y17" s="726"/>
      <c r="Z17" s="727"/>
      <c r="AA17" s="146"/>
    </row>
    <row r="18" spans="1:27" ht="31.9" customHeight="1" thickBot="1">
      <c r="A18" s="100" t="s">
        <v>96</v>
      </c>
      <c r="B18" s="728"/>
      <c r="C18" s="712"/>
      <c r="D18" s="109">
        <v>15</v>
      </c>
      <c r="E18" s="156">
        <f>SUM(E5:E17)</f>
        <v>79453.208135593217</v>
      </c>
      <c r="F18" s="109">
        <v>16</v>
      </c>
      <c r="G18" s="157">
        <f>SUM(G5:G17)</f>
        <v>26484.507399999999</v>
      </c>
      <c r="H18" s="98">
        <v>0.5</v>
      </c>
      <c r="I18" s="136"/>
      <c r="J18" s="137"/>
      <c r="K18" s="137"/>
      <c r="L18" s="137"/>
      <c r="M18" s="137"/>
      <c r="N18" s="137"/>
      <c r="O18" s="137"/>
      <c r="P18" s="137"/>
      <c r="Q18" s="137"/>
      <c r="R18" s="137"/>
      <c r="S18" s="137"/>
      <c r="T18" s="137"/>
      <c r="U18" s="137"/>
      <c r="V18" s="123"/>
      <c r="W18" s="121">
        <v>-15</v>
      </c>
      <c r="X18" s="122"/>
      <c r="Y18" s="123"/>
      <c r="Z18" s="121">
        <v>-16</v>
      </c>
      <c r="AA18" s="122"/>
    </row>
    <row r="19" spans="1:27" ht="39" thickBot="1">
      <c r="A19" s="100" t="s">
        <v>97</v>
      </c>
      <c r="B19" s="712"/>
      <c r="C19" s="712"/>
      <c r="D19" s="109">
        <v>17</v>
      </c>
      <c r="E19" s="158">
        <f>E18-G18</f>
        <v>52968.700735593215</v>
      </c>
      <c r="F19" s="138"/>
      <c r="G19" s="148"/>
      <c r="H19" s="729">
        <v>0.5</v>
      </c>
      <c r="I19" s="136"/>
      <c r="J19" s="137"/>
      <c r="K19" s="137"/>
      <c r="L19" s="137"/>
      <c r="M19" s="137"/>
      <c r="N19" s="137"/>
      <c r="O19" s="137"/>
      <c r="P19" s="137"/>
      <c r="Q19" s="137"/>
      <c r="R19" s="137"/>
      <c r="S19" s="137"/>
      <c r="T19" s="137"/>
      <c r="U19" s="137"/>
      <c r="V19" s="123"/>
      <c r="W19" s="121">
        <v>-17</v>
      </c>
      <c r="X19" s="122"/>
      <c r="Y19" s="713"/>
      <c r="Z19" s="714"/>
      <c r="AA19" s="122"/>
    </row>
    <row r="20" spans="1:27" ht="44.45" customHeight="1" thickBot="1">
      <c r="A20" s="159" t="s">
        <v>98</v>
      </c>
      <c r="B20" s="730"/>
      <c r="C20" s="731"/>
      <c r="D20" s="160"/>
      <c r="E20" s="161"/>
      <c r="F20" s="162">
        <v>18</v>
      </c>
      <c r="G20" s="163"/>
      <c r="H20" s="729"/>
      <c r="I20" s="143"/>
      <c r="J20" s="144"/>
      <c r="K20" s="144"/>
      <c r="L20" s="144"/>
      <c r="M20" s="144"/>
      <c r="N20" s="144"/>
      <c r="O20" s="144"/>
      <c r="P20" s="144"/>
      <c r="Q20" s="144"/>
      <c r="R20" s="144"/>
      <c r="S20" s="144"/>
      <c r="T20" s="144"/>
      <c r="U20" s="144"/>
      <c r="V20" s="726"/>
      <c r="W20" s="727"/>
      <c r="X20" s="146"/>
      <c r="Y20" s="145"/>
      <c r="Z20" s="133">
        <v>-18</v>
      </c>
      <c r="AA20" s="134"/>
    </row>
  </sheetData>
  <mergeCells count="23">
    <mergeCell ref="V17:W17"/>
    <mergeCell ref="Y17:Z17"/>
    <mergeCell ref="B18:C18"/>
    <mergeCell ref="B19:C19"/>
    <mergeCell ref="H19:H20"/>
    <mergeCell ref="Y19:Z19"/>
    <mergeCell ref="B20:C20"/>
    <mergeCell ref="V20:W20"/>
    <mergeCell ref="AB4:AC4"/>
    <mergeCell ref="B13:C13"/>
    <mergeCell ref="B14:C14"/>
    <mergeCell ref="V14:W14"/>
    <mergeCell ref="B15:C15"/>
    <mergeCell ref="B16:C16"/>
    <mergeCell ref="Y16:Z16"/>
    <mergeCell ref="A1:I1"/>
    <mergeCell ref="B2:D2"/>
    <mergeCell ref="A3:C3"/>
    <mergeCell ref="D3:E3"/>
    <mergeCell ref="F3:G3"/>
    <mergeCell ref="A4:C4"/>
    <mergeCell ref="D4:E4"/>
    <mergeCell ref="F4:G4"/>
  </mergeCells>
  <printOptions horizontalCentered="1"/>
  <pageMargins left="0.2" right="0.2" top="0.75" bottom="0.75" header="0.3" footer="0.3"/>
  <pageSetup paperSize="9" orientation="portrait" verticalDpi="0" r:id="rId1"/>
  <drawing r:id="rId2"/>
  <legacyDrawing r:id="rId3"/>
  <controls>
    <mc:AlternateContent xmlns:mc="http://schemas.openxmlformats.org/markup-compatibility/2006">
      <mc:Choice Requires="x14">
        <control shapeId="2073" r:id="rId4" name="Control 25">
          <controlPr defaultSize="0" r:id="rId5">
            <anchor moveWithCells="1">
              <from>
                <xdr:col>31</xdr:col>
                <xdr:colOff>0</xdr:colOff>
                <xdr:row>18</xdr:row>
                <xdr:rowOff>0</xdr:rowOff>
              </from>
              <to>
                <xdr:col>32</xdr:col>
                <xdr:colOff>323850</xdr:colOff>
                <xdr:row>18</xdr:row>
                <xdr:rowOff>228600</xdr:rowOff>
              </to>
            </anchor>
          </controlPr>
        </control>
      </mc:Choice>
      <mc:Fallback>
        <control shapeId="2073" r:id="rId4" name="Control 25"/>
      </mc:Fallback>
    </mc:AlternateContent>
    <mc:AlternateContent xmlns:mc="http://schemas.openxmlformats.org/markup-compatibility/2006">
      <mc:Choice Requires="x14">
        <control shapeId="2072" r:id="rId6" name="Control 24">
          <controlPr defaultSize="0" r:id="rId7">
            <anchor moveWithCells="1">
              <from>
                <xdr:col>31</xdr:col>
                <xdr:colOff>0</xdr:colOff>
                <xdr:row>17</xdr:row>
                <xdr:rowOff>0</xdr:rowOff>
              </from>
              <to>
                <xdr:col>32</xdr:col>
                <xdr:colOff>323850</xdr:colOff>
                <xdr:row>17</xdr:row>
                <xdr:rowOff>228600</xdr:rowOff>
              </to>
            </anchor>
          </controlPr>
        </control>
      </mc:Choice>
      <mc:Fallback>
        <control shapeId="2072" r:id="rId6" name="Control 24"/>
      </mc:Fallback>
    </mc:AlternateContent>
    <mc:AlternateContent xmlns:mc="http://schemas.openxmlformats.org/markup-compatibility/2006">
      <mc:Choice Requires="x14">
        <control shapeId="2071" r:id="rId8" name="Control 23">
          <controlPr defaultSize="0" r:id="rId9">
            <anchor moveWithCells="1">
              <from>
                <xdr:col>31</xdr:col>
                <xdr:colOff>0</xdr:colOff>
                <xdr:row>17</xdr:row>
                <xdr:rowOff>0</xdr:rowOff>
              </from>
              <to>
                <xdr:col>32</xdr:col>
                <xdr:colOff>323850</xdr:colOff>
                <xdr:row>17</xdr:row>
                <xdr:rowOff>228600</xdr:rowOff>
              </to>
            </anchor>
          </controlPr>
        </control>
      </mc:Choice>
      <mc:Fallback>
        <control shapeId="2071" r:id="rId8" name="Control 23"/>
      </mc:Fallback>
    </mc:AlternateContent>
    <mc:AlternateContent xmlns:mc="http://schemas.openxmlformats.org/markup-compatibility/2006">
      <mc:Choice Requires="x14">
        <control shapeId="2070" r:id="rId10" name="Control 22">
          <controlPr defaultSize="0" r:id="rId11">
            <anchor moveWithCells="1">
              <from>
                <xdr:col>21</xdr:col>
                <xdr:colOff>0</xdr:colOff>
                <xdr:row>16</xdr:row>
                <xdr:rowOff>0</xdr:rowOff>
              </from>
              <to>
                <xdr:col>32</xdr:col>
                <xdr:colOff>9525</xdr:colOff>
                <xdr:row>16</xdr:row>
                <xdr:rowOff>228600</xdr:rowOff>
              </to>
            </anchor>
          </controlPr>
        </control>
      </mc:Choice>
      <mc:Fallback>
        <control shapeId="2070" r:id="rId10" name="Control 22"/>
      </mc:Fallback>
    </mc:AlternateContent>
    <mc:AlternateContent xmlns:mc="http://schemas.openxmlformats.org/markup-compatibility/2006">
      <mc:Choice Requires="x14">
        <control shapeId="2069" r:id="rId12" name="Control 21">
          <controlPr defaultSize="0" r:id="rId13">
            <anchor moveWithCells="1">
              <from>
                <xdr:col>31</xdr:col>
                <xdr:colOff>0</xdr:colOff>
                <xdr:row>15</xdr:row>
                <xdr:rowOff>0</xdr:rowOff>
              </from>
              <to>
                <xdr:col>32</xdr:col>
                <xdr:colOff>323850</xdr:colOff>
                <xdr:row>15</xdr:row>
                <xdr:rowOff>228600</xdr:rowOff>
              </to>
            </anchor>
          </controlPr>
        </control>
      </mc:Choice>
      <mc:Fallback>
        <control shapeId="2069" r:id="rId12" name="Control 21"/>
      </mc:Fallback>
    </mc:AlternateContent>
    <mc:AlternateContent xmlns:mc="http://schemas.openxmlformats.org/markup-compatibility/2006">
      <mc:Choice Requires="x14">
        <control shapeId="2068" r:id="rId14" name="Control 20">
          <controlPr defaultSize="0" r:id="rId15">
            <anchor moveWithCells="1">
              <from>
                <xdr:col>31</xdr:col>
                <xdr:colOff>0</xdr:colOff>
                <xdr:row>14</xdr:row>
                <xdr:rowOff>0</xdr:rowOff>
              </from>
              <to>
                <xdr:col>32</xdr:col>
                <xdr:colOff>323850</xdr:colOff>
                <xdr:row>14</xdr:row>
                <xdr:rowOff>228600</xdr:rowOff>
              </to>
            </anchor>
          </controlPr>
        </control>
      </mc:Choice>
      <mc:Fallback>
        <control shapeId="2068" r:id="rId14" name="Control 20"/>
      </mc:Fallback>
    </mc:AlternateContent>
    <mc:AlternateContent xmlns:mc="http://schemas.openxmlformats.org/markup-compatibility/2006">
      <mc:Choice Requires="x14">
        <control shapeId="2067" r:id="rId16" name="Control 19">
          <controlPr defaultSize="0" r:id="rId17">
            <anchor moveWithCells="1">
              <from>
                <xdr:col>31</xdr:col>
                <xdr:colOff>0</xdr:colOff>
                <xdr:row>14</xdr:row>
                <xdr:rowOff>0</xdr:rowOff>
              </from>
              <to>
                <xdr:col>32</xdr:col>
                <xdr:colOff>323850</xdr:colOff>
                <xdr:row>14</xdr:row>
                <xdr:rowOff>228600</xdr:rowOff>
              </to>
            </anchor>
          </controlPr>
        </control>
      </mc:Choice>
      <mc:Fallback>
        <control shapeId="2067" r:id="rId16" name="Control 19"/>
      </mc:Fallback>
    </mc:AlternateContent>
    <mc:AlternateContent xmlns:mc="http://schemas.openxmlformats.org/markup-compatibility/2006">
      <mc:Choice Requires="x14">
        <control shapeId="2066" r:id="rId18" name="Control 18">
          <controlPr defaultSize="0" r:id="rId19">
            <anchor moveWithCells="1">
              <from>
                <xdr:col>31</xdr:col>
                <xdr:colOff>0</xdr:colOff>
                <xdr:row>13</xdr:row>
                <xdr:rowOff>0</xdr:rowOff>
              </from>
              <to>
                <xdr:col>32</xdr:col>
                <xdr:colOff>323850</xdr:colOff>
                <xdr:row>13</xdr:row>
                <xdr:rowOff>228600</xdr:rowOff>
              </to>
            </anchor>
          </controlPr>
        </control>
      </mc:Choice>
      <mc:Fallback>
        <control shapeId="2066" r:id="rId18" name="Control 18"/>
      </mc:Fallback>
    </mc:AlternateContent>
    <mc:AlternateContent xmlns:mc="http://schemas.openxmlformats.org/markup-compatibility/2006">
      <mc:Choice Requires="x14">
        <control shapeId="2065" r:id="rId20" name="Control 17">
          <controlPr defaultSize="0" r:id="rId21">
            <anchor moveWithCells="1">
              <from>
                <xdr:col>31</xdr:col>
                <xdr:colOff>0</xdr:colOff>
                <xdr:row>12</xdr:row>
                <xdr:rowOff>0</xdr:rowOff>
              </from>
              <to>
                <xdr:col>32</xdr:col>
                <xdr:colOff>323850</xdr:colOff>
                <xdr:row>12</xdr:row>
                <xdr:rowOff>228600</xdr:rowOff>
              </to>
            </anchor>
          </controlPr>
        </control>
      </mc:Choice>
      <mc:Fallback>
        <control shapeId="2065" r:id="rId20" name="Control 17"/>
      </mc:Fallback>
    </mc:AlternateContent>
    <mc:AlternateContent xmlns:mc="http://schemas.openxmlformats.org/markup-compatibility/2006">
      <mc:Choice Requires="x14">
        <control shapeId="2064" r:id="rId22" name="Control 16">
          <controlPr defaultSize="0" r:id="rId23">
            <anchor moveWithCells="1">
              <from>
                <xdr:col>31</xdr:col>
                <xdr:colOff>0</xdr:colOff>
                <xdr:row>12</xdr:row>
                <xdr:rowOff>0</xdr:rowOff>
              </from>
              <to>
                <xdr:col>32</xdr:col>
                <xdr:colOff>323850</xdr:colOff>
                <xdr:row>12</xdr:row>
                <xdr:rowOff>228600</xdr:rowOff>
              </to>
            </anchor>
          </controlPr>
        </control>
      </mc:Choice>
      <mc:Fallback>
        <control shapeId="2064" r:id="rId22" name="Control 16"/>
      </mc:Fallback>
    </mc:AlternateContent>
    <mc:AlternateContent xmlns:mc="http://schemas.openxmlformats.org/markup-compatibility/2006">
      <mc:Choice Requires="x14">
        <control shapeId="2063" r:id="rId24" name="Control 15">
          <controlPr defaultSize="0" r:id="rId25">
            <anchor moveWithCells="1">
              <from>
                <xdr:col>31</xdr:col>
                <xdr:colOff>0</xdr:colOff>
                <xdr:row>12</xdr:row>
                <xdr:rowOff>0</xdr:rowOff>
              </from>
              <to>
                <xdr:col>32</xdr:col>
                <xdr:colOff>323850</xdr:colOff>
                <xdr:row>12</xdr:row>
                <xdr:rowOff>228600</xdr:rowOff>
              </to>
            </anchor>
          </controlPr>
        </control>
      </mc:Choice>
      <mc:Fallback>
        <control shapeId="2063" r:id="rId24" name="Control 15"/>
      </mc:Fallback>
    </mc:AlternateContent>
    <mc:AlternateContent xmlns:mc="http://schemas.openxmlformats.org/markup-compatibility/2006">
      <mc:Choice Requires="x14">
        <control shapeId="2062" r:id="rId26" name="Control 14">
          <controlPr defaultSize="0" r:id="rId27">
            <anchor moveWithCells="1">
              <from>
                <xdr:col>31</xdr:col>
                <xdr:colOff>0</xdr:colOff>
                <xdr:row>12</xdr:row>
                <xdr:rowOff>0</xdr:rowOff>
              </from>
              <to>
                <xdr:col>32</xdr:col>
                <xdr:colOff>323850</xdr:colOff>
                <xdr:row>12</xdr:row>
                <xdr:rowOff>228600</xdr:rowOff>
              </to>
            </anchor>
          </controlPr>
        </control>
      </mc:Choice>
      <mc:Fallback>
        <control shapeId="2062" r:id="rId26" name="Control 14"/>
      </mc:Fallback>
    </mc:AlternateContent>
    <mc:AlternateContent xmlns:mc="http://schemas.openxmlformats.org/markup-compatibility/2006">
      <mc:Choice Requires="x14">
        <control shapeId="2061" r:id="rId28" name="Control 13">
          <controlPr defaultSize="0" r:id="rId29">
            <anchor moveWithCells="1">
              <from>
                <xdr:col>31</xdr:col>
                <xdr:colOff>0</xdr:colOff>
                <xdr:row>12</xdr:row>
                <xdr:rowOff>0</xdr:rowOff>
              </from>
              <to>
                <xdr:col>32</xdr:col>
                <xdr:colOff>323850</xdr:colOff>
                <xdr:row>12</xdr:row>
                <xdr:rowOff>228600</xdr:rowOff>
              </to>
            </anchor>
          </controlPr>
        </control>
      </mc:Choice>
      <mc:Fallback>
        <control shapeId="2061" r:id="rId28" name="Control 13"/>
      </mc:Fallback>
    </mc:AlternateContent>
    <mc:AlternateContent xmlns:mc="http://schemas.openxmlformats.org/markup-compatibility/2006">
      <mc:Choice Requires="x14">
        <control shapeId="2060" r:id="rId30" name="Control 12">
          <controlPr defaultSize="0" r:id="rId31">
            <anchor moveWithCells="1">
              <from>
                <xdr:col>31</xdr:col>
                <xdr:colOff>0</xdr:colOff>
                <xdr:row>10</xdr:row>
                <xdr:rowOff>0</xdr:rowOff>
              </from>
              <to>
                <xdr:col>32</xdr:col>
                <xdr:colOff>323850</xdr:colOff>
                <xdr:row>10</xdr:row>
                <xdr:rowOff>228600</xdr:rowOff>
              </to>
            </anchor>
          </controlPr>
        </control>
      </mc:Choice>
      <mc:Fallback>
        <control shapeId="2060" r:id="rId30" name="Control 12"/>
      </mc:Fallback>
    </mc:AlternateContent>
    <mc:AlternateContent xmlns:mc="http://schemas.openxmlformats.org/markup-compatibility/2006">
      <mc:Choice Requires="x14">
        <control shapeId="2059" r:id="rId32" name="Control 11">
          <controlPr defaultSize="0" r:id="rId33">
            <anchor moveWithCells="1">
              <from>
                <xdr:col>31</xdr:col>
                <xdr:colOff>0</xdr:colOff>
                <xdr:row>10</xdr:row>
                <xdr:rowOff>0</xdr:rowOff>
              </from>
              <to>
                <xdr:col>32</xdr:col>
                <xdr:colOff>323850</xdr:colOff>
                <xdr:row>10</xdr:row>
                <xdr:rowOff>228600</xdr:rowOff>
              </to>
            </anchor>
          </controlPr>
        </control>
      </mc:Choice>
      <mc:Fallback>
        <control shapeId="2059" r:id="rId32" name="Control 11"/>
      </mc:Fallback>
    </mc:AlternateContent>
    <mc:AlternateContent xmlns:mc="http://schemas.openxmlformats.org/markup-compatibility/2006">
      <mc:Choice Requires="x14">
        <control shapeId="2058" r:id="rId34" name="Control 10">
          <controlPr defaultSize="0" r:id="rId35">
            <anchor moveWithCells="1">
              <from>
                <xdr:col>31</xdr:col>
                <xdr:colOff>0</xdr:colOff>
                <xdr:row>9</xdr:row>
                <xdr:rowOff>0</xdr:rowOff>
              </from>
              <to>
                <xdr:col>32</xdr:col>
                <xdr:colOff>323850</xdr:colOff>
                <xdr:row>9</xdr:row>
                <xdr:rowOff>228600</xdr:rowOff>
              </to>
            </anchor>
          </controlPr>
        </control>
      </mc:Choice>
      <mc:Fallback>
        <control shapeId="2058" r:id="rId34" name="Control 10"/>
      </mc:Fallback>
    </mc:AlternateContent>
    <mc:AlternateContent xmlns:mc="http://schemas.openxmlformats.org/markup-compatibility/2006">
      <mc:Choice Requires="x14">
        <control shapeId="2057" r:id="rId36" name="Control 9">
          <controlPr defaultSize="0" r:id="rId37">
            <anchor moveWithCells="1">
              <from>
                <xdr:col>31</xdr:col>
                <xdr:colOff>0</xdr:colOff>
                <xdr:row>9</xdr:row>
                <xdr:rowOff>0</xdr:rowOff>
              </from>
              <to>
                <xdr:col>32</xdr:col>
                <xdr:colOff>323850</xdr:colOff>
                <xdr:row>9</xdr:row>
                <xdr:rowOff>228600</xdr:rowOff>
              </to>
            </anchor>
          </controlPr>
        </control>
      </mc:Choice>
      <mc:Fallback>
        <control shapeId="2057" r:id="rId36" name="Control 9"/>
      </mc:Fallback>
    </mc:AlternateContent>
    <mc:AlternateContent xmlns:mc="http://schemas.openxmlformats.org/markup-compatibility/2006">
      <mc:Choice Requires="x14">
        <control shapeId="2056" r:id="rId38" name="Control 8">
          <controlPr defaultSize="0" r:id="rId39">
            <anchor moveWithCells="1">
              <from>
                <xdr:col>31</xdr:col>
                <xdr:colOff>0</xdr:colOff>
                <xdr:row>9</xdr:row>
                <xdr:rowOff>0</xdr:rowOff>
              </from>
              <to>
                <xdr:col>32</xdr:col>
                <xdr:colOff>323850</xdr:colOff>
                <xdr:row>9</xdr:row>
                <xdr:rowOff>228600</xdr:rowOff>
              </to>
            </anchor>
          </controlPr>
        </control>
      </mc:Choice>
      <mc:Fallback>
        <control shapeId="2056" r:id="rId38" name="Control 8"/>
      </mc:Fallback>
    </mc:AlternateContent>
    <mc:AlternateContent xmlns:mc="http://schemas.openxmlformats.org/markup-compatibility/2006">
      <mc:Choice Requires="x14">
        <control shapeId="2055" r:id="rId40" name="Control 7">
          <controlPr defaultSize="0" r:id="rId41">
            <anchor moveWithCells="1">
              <from>
                <xdr:col>31</xdr:col>
                <xdr:colOff>0</xdr:colOff>
                <xdr:row>9</xdr:row>
                <xdr:rowOff>0</xdr:rowOff>
              </from>
              <to>
                <xdr:col>32</xdr:col>
                <xdr:colOff>323850</xdr:colOff>
                <xdr:row>9</xdr:row>
                <xdr:rowOff>228600</xdr:rowOff>
              </to>
            </anchor>
          </controlPr>
        </control>
      </mc:Choice>
      <mc:Fallback>
        <control shapeId="2055" r:id="rId40" name="Control 7"/>
      </mc:Fallback>
    </mc:AlternateContent>
    <mc:AlternateContent xmlns:mc="http://schemas.openxmlformats.org/markup-compatibility/2006">
      <mc:Choice Requires="x14">
        <control shapeId="2054" r:id="rId42" name="Control 6">
          <controlPr defaultSize="0" r:id="rId43">
            <anchor moveWithCells="1">
              <from>
                <xdr:col>31</xdr:col>
                <xdr:colOff>0</xdr:colOff>
                <xdr:row>9</xdr:row>
                <xdr:rowOff>0</xdr:rowOff>
              </from>
              <to>
                <xdr:col>32</xdr:col>
                <xdr:colOff>323850</xdr:colOff>
                <xdr:row>9</xdr:row>
                <xdr:rowOff>228600</xdr:rowOff>
              </to>
            </anchor>
          </controlPr>
        </control>
      </mc:Choice>
      <mc:Fallback>
        <control shapeId="2054" r:id="rId42" name="Control 6"/>
      </mc:Fallback>
    </mc:AlternateContent>
    <mc:AlternateContent xmlns:mc="http://schemas.openxmlformats.org/markup-compatibility/2006">
      <mc:Choice Requires="x14">
        <control shapeId="2053" r:id="rId44" name="Control 5">
          <controlPr defaultSize="0" r:id="rId45">
            <anchor moveWithCells="1">
              <from>
                <xdr:col>31</xdr:col>
                <xdr:colOff>0</xdr:colOff>
                <xdr:row>8</xdr:row>
                <xdr:rowOff>0</xdr:rowOff>
              </from>
              <to>
                <xdr:col>32</xdr:col>
                <xdr:colOff>323850</xdr:colOff>
                <xdr:row>8</xdr:row>
                <xdr:rowOff>228600</xdr:rowOff>
              </to>
            </anchor>
          </controlPr>
        </control>
      </mc:Choice>
      <mc:Fallback>
        <control shapeId="2053" r:id="rId44" name="Control 5"/>
      </mc:Fallback>
    </mc:AlternateContent>
    <mc:AlternateContent xmlns:mc="http://schemas.openxmlformats.org/markup-compatibility/2006">
      <mc:Choice Requires="x14">
        <control shapeId="2052" r:id="rId46" name="Control 4">
          <controlPr defaultSize="0" r:id="rId47">
            <anchor moveWithCells="1">
              <from>
                <xdr:col>31</xdr:col>
                <xdr:colOff>0</xdr:colOff>
                <xdr:row>7</xdr:row>
                <xdr:rowOff>0</xdr:rowOff>
              </from>
              <to>
                <xdr:col>32</xdr:col>
                <xdr:colOff>323850</xdr:colOff>
                <xdr:row>7</xdr:row>
                <xdr:rowOff>228600</xdr:rowOff>
              </to>
            </anchor>
          </controlPr>
        </control>
      </mc:Choice>
      <mc:Fallback>
        <control shapeId="2052" r:id="rId46" name="Control 4"/>
      </mc:Fallback>
    </mc:AlternateContent>
    <mc:AlternateContent xmlns:mc="http://schemas.openxmlformats.org/markup-compatibility/2006">
      <mc:Choice Requires="x14">
        <control shapeId="2051" r:id="rId48" name="Control 3">
          <controlPr defaultSize="0" r:id="rId49">
            <anchor moveWithCells="1">
              <from>
                <xdr:col>31</xdr:col>
                <xdr:colOff>0</xdr:colOff>
                <xdr:row>6</xdr:row>
                <xdr:rowOff>0</xdr:rowOff>
              </from>
              <to>
                <xdr:col>32</xdr:col>
                <xdr:colOff>323850</xdr:colOff>
                <xdr:row>6</xdr:row>
                <xdr:rowOff>228600</xdr:rowOff>
              </to>
            </anchor>
          </controlPr>
        </control>
      </mc:Choice>
      <mc:Fallback>
        <control shapeId="2051" r:id="rId48" name="Control 3"/>
      </mc:Fallback>
    </mc:AlternateContent>
    <mc:AlternateContent xmlns:mc="http://schemas.openxmlformats.org/markup-compatibility/2006">
      <mc:Choice Requires="x14">
        <control shapeId="2050" r:id="rId50" name="Control 2">
          <controlPr defaultSize="0" r:id="rId51">
            <anchor moveWithCells="1">
              <from>
                <xdr:col>31</xdr:col>
                <xdr:colOff>0</xdr:colOff>
                <xdr:row>5</xdr:row>
                <xdr:rowOff>0</xdr:rowOff>
              </from>
              <to>
                <xdr:col>32</xdr:col>
                <xdr:colOff>323850</xdr:colOff>
                <xdr:row>5</xdr:row>
                <xdr:rowOff>228600</xdr:rowOff>
              </to>
            </anchor>
          </controlPr>
        </control>
      </mc:Choice>
      <mc:Fallback>
        <control shapeId="2050" r:id="rId50" name="Control 2"/>
      </mc:Fallback>
    </mc:AlternateContent>
    <mc:AlternateContent xmlns:mc="http://schemas.openxmlformats.org/markup-compatibility/2006">
      <mc:Choice Requires="x14">
        <control shapeId="2049" r:id="rId52" name="Control 1">
          <controlPr defaultSize="0" r:id="rId33">
            <anchor moveWithCells="1">
              <from>
                <xdr:col>31</xdr:col>
                <xdr:colOff>0</xdr:colOff>
                <xdr:row>4</xdr:row>
                <xdr:rowOff>0</xdr:rowOff>
              </from>
              <to>
                <xdr:col>32</xdr:col>
                <xdr:colOff>323850</xdr:colOff>
                <xdr:row>4</xdr:row>
                <xdr:rowOff>228600</xdr:rowOff>
              </to>
            </anchor>
          </controlPr>
        </control>
      </mc:Choice>
      <mc:Fallback>
        <control shapeId="2049" r:id="rId52" name="Control 1"/>
      </mc:Fallback>
    </mc:AlternateContent>
  </control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8"/>
  <sheetViews>
    <sheetView workbookViewId="0">
      <selection activeCell="K1" sqref="K1:K1048576"/>
    </sheetView>
  </sheetViews>
  <sheetFormatPr defaultRowHeight="15"/>
  <cols>
    <col min="1" max="7" width="9.140625" style="81"/>
    <col min="8" max="8" width="11.5703125" style="81" bestFit="1" customWidth="1"/>
    <col min="9" max="9" width="9.140625" style="81"/>
    <col min="10" max="10" width="10.42578125" style="81" customWidth="1"/>
    <col min="11" max="16384" width="9.140625" style="81"/>
  </cols>
  <sheetData>
    <row r="1" spans="1:14" ht="15.75">
      <c r="A1" s="732" t="s">
        <v>99</v>
      </c>
      <c r="B1" s="732"/>
      <c r="C1" s="732"/>
      <c r="D1" s="732"/>
      <c r="E1" s="732"/>
      <c r="F1" s="732"/>
      <c r="G1" s="732"/>
      <c r="H1" s="732"/>
      <c r="I1" s="732"/>
      <c r="J1" s="732"/>
    </row>
    <row r="2" spans="1:14" ht="15.75">
      <c r="A2" s="164"/>
      <c r="B2" s="732" t="s">
        <v>100</v>
      </c>
      <c r="C2" s="732"/>
      <c r="D2" s="732"/>
      <c r="E2" s="732"/>
      <c r="F2" s="732"/>
      <c r="G2" s="732"/>
      <c r="H2" s="732"/>
      <c r="I2" s="732"/>
      <c r="J2" s="732"/>
    </row>
    <row r="3" spans="1:14">
      <c r="A3" s="1"/>
      <c r="B3" s="1"/>
      <c r="C3" s="1"/>
      <c r="D3" s="1"/>
      <c r="E3" s="1"/>
      <c r="F3" s="1"/>
      <c r="G3" s="1"/>
      <c r="H3" s="1"/>
      <c r="I3" s="1"/>
      <c r="J3" s="1"/>
    </row>
    <row r="4" spans="1:14">
      <c r="A4" s="733" t="s">
        <v>2</v>
      </c>
      <c r="B4" s="733"/>
      <c r="C4" s="733"/>
      <c r="D4" s="733"/>
      <c r="E4" s="733"/>
      <c r="F4" s="733"/>
      <c r="G4" s="733"/>
      <c r="H4" s="733"/>
      <c r="I4" s="733"/>
      <c r="J4" s="733"/>
    </row>
    <row r="5" spans="1:14">
      <c r="A5" s="165"/>
      <c r="B5" s="165"/>
      <c r="C5" s="165"/>
      <c r="D5" s="165"/>
      <c r="E5" s="165"/>
      <c r="F5" s="165"/>
      <c r="G5" s="165"/>
      <c r="H5" s="165"/>
      <c r="I5" s="165"/>
      <c r="J5" s="165"/>
    </row>
    <row r="6" spans="1:14" ht="31.15" customHeight="1">
      <c r="A6" s="734" t="s">
        <v>101</v>
      </c>
      <c r="B6" s="734"/>
      <c r="C6" s="734"/>
      <c r="D6" s="734"/>
      <c r="E6" s="734"/>
      <c r="F6" s="734"/>
      <c r="G6" s="734"/>
      <c r="H6" s="734"/>
      <c r="I6" s="734"/>
      <c r="J6" s="734"/>
      <c r="K6" s="23"/>
    </row>
    <row r="7" spans="1:14" ht="13.5" customHeight="1">
      <c r="A7" s="23"/>
      <c r="B7" s="23"/>
      <c r="C7" s="23"/>
      <c r="D7" s="23"/>
      <c r="E7" s="23"/>
      <c r="F7" s="23"/>
      <c r="G7" s="23"/>
      <c r="H7" s="23"/>
      <c r="I7" s="23"/>
      <c r="J7" s="23"/>
      <c r="K7" s="23"/>
    </row>
    <row r="8" spans="1:14" ht="15.75" customHeight="1" thickBot="1">
      <c r="A8" s="735" t="s">
        <v>102</v>
      </c>
      <c r="B8" s="735"/>
      <c r="C8" s="735"/>
      <c r="D8" s="735"/>
      <c r="E8" s="735"/>
      <c r="F8" s="735"/>
      <c r="G8" s="735"/>
      <c r="H8" s="735"/>
      <c r="I8" s="735"/>
      <c r="J8" s="735"/>
      <c r="K8" s="1"/>
    </row>
    <row r="9" spans="1:14" ht="25.5">
      <c r="A9" s="641" t="s">
        <v>5</v>
      </c>
      <c r="B9" s="641"/>
      <c r="C9" s="641"/>
      <c r="D9" s="641"/>
      <c r="E9" s="641"/>
      <c r="F9" s="641"/>
      <c r="G9" s="8" t="s">
        <v>6</v>
      </c>
      <c r="H9" s="9" t="s">
        <v>7</v>
      </c>
      <c r="I9" s="10" t="s">
        <v>8</v>
      </c>
      <c r="J9" s="11" t="s">
        <v>9</v>
      </c>
      <c r="K9" s="1"/>
    </row>
    <row r="10" spans="1:14" ht="24" customHeight="1">
      <c r="A10" s="736" t="s">
        <v>103</v>
      </c>
      <c r="B10" s="736"/>
      <c r="C10" s="736"/>
      <c r="D10" s="736"/>
      <c r="E10" s="736"/>
      <c r="F10" s="736"/>
      <c r="G10" s="20" t="s">
        <v>15</v>
      </c>
      <c r="H10" s="166">
        <v>5000</v>
      </c>
      <c r="I10" s="15">
        <v>0.5</v>
      </c>
      <c r="J10" s="15"/>
      <c r="K10" s="644"/>
    </row>
    <row r="11" spans="1:14" ht="63.75">
      <c r="A11" s="514" t="s">
        <v>104</v>
      </c>
      <c r="B11" s="514"/>
      <c r="C11" s="514"/>
      <c r="D11" s="514"/>
      <c r="E11" s="514"/>
      <c r="F11" s="514"/>
      <c r="G11" s="13" t="s">
        <v>105</v>
      </c>
      <c r="H11" s="167">
        <v>0</v>
      </c>
      <c r="I11" s="167">
        <v>0.5</v>
      </c>
      <c r="J11" s="167"/>
      <c r="K11" s="644"/>
      <c r="N11" s="81" t="s">
        <v>106</v>
      </c>
    </row>
    <row r="12" spans="1:14" ht="15.75" thickBot="1">
      <c r="A12" s="737" t="s">
        <v>107</v>
      </c>
      <c r="B12" s="737"/>
      <c r="C12" s="737"/>
      <c r="D12" s="737"/>
    </row>
    <row r="13" spans="1:14" ht="25.5">
      <c r="A13" s="641" t="s">
        <v>5</v>
      </c>
      <c r="B13" s="641"/>
      <c r="C13" s="641"/>
      <c r="D13" s="641"/>
      <c r="E13" s="641"/>
      <c r="F13" s="641"/>
      <c r="G13" s="8" t="s">
        <v>6</v>
      </c>
      <c r="H13" s="9" t="s">
        <v>7</v>
      </c>
      <c r="I13" s="10" t="s">
        <v>8</v>
      </c>
      <c r="J13" s="11" t="s">
        <v>9</v>
      </c>
      <c r="K13" s="1"/>
    </row>
    <row r="14" spans="1:14" ht="30.6" customHeight="1">
      <c r="A14" s="637" t="s">
        <v>108</v>
      </c>
      <c r="B14" s="638"/>
      <c r="C14" s="638"/>
      <c r="D14" s="638"/>
      <c r="E14" s="638"/>
      <c r="F14" s="639"/>
      <c r="G14" s="20" t="s">
        <v>15</v>
      </c>
      <c r="H14" s="15">
        <v>0</v>
      </c>
      <c r="I14" s="15">
        <v>0.5</v>
      </c>
      <c r="J14" s="15"/>
      <c r="K14" s="1"/>
      <c r="L14" s="168"/>
    </row>
    <row r="15" spans="1:14" ht="28.5" customHeight="1">
      <c r="A15" s="645" t="s">
        <v>109</v>
      </c>
      <c r="B15" s="645"/>
      <c r="C15" s="645"/>
      <c r="D15" s="645"/>
      <c r="E15" s="645"/>
      <c r="F15" s="645"/>
      <c r="G15" s="20" t="s">
        <v>15</v>
      </c>
      <c r="H15" s="15">
        <v>5000</v>
      </c>
      <c r="I15" s="15">
        <v>0.5</v>
      </c>
      <c r="J15" s="15"/>
      <c r="K15" s="1"/>
      <c r="L15" s="168"/>
    </row>
    <row r="16" spans="1:14" ht="22.5" customHeight="1">
      <c r="A16" s="645" t="s">
        <v>110</v>
      </c>
      <c r="B16" s="645"/>
      <c r="C16" s="645"/>
      <c r="D16" s="645"/>
      <c r="E16" s="645"/>
      <c r="F16" s="645"/>
      <c r="G16" s="20" t="s">
        <v>15</v>
      </c>
      <c r="H16" s="15">
        <v>1700</v>
      </c>
      <c r="I16" s="15">
        <v>0.5</v>
      </c>
      <c r="J16" s="15"/>
      <c r="K16" s="1"/>
      <c r="L16" s="168"/>
    </row>
    <row r="17" spans="1:15" ht="22.5" customHeight="1">
      <c r="A17" s="645" t="s">
        <v>111</v>
      </c>
      <c r="B17" s="645"/>
      <c r="C17" s="645"/>
      <c r="D17" s="645"/>
      <c r="E17" s="645"/>
      <c r="F17" s="645"/>
      <c r="G17" s="20" t="s">
        <v>15</v>
      </c>
      <c r="H17" s="15">
        <v>20000</v>
      </c>
      <c r="I17" s="15">
        <v>0.5</v>
      </c>
      <c r="J17" s="15"/>
      <c r="K17" s="1"/>
      <c r="L17" s="168"/>
    </row>
    <row r="19" spans="1:15" ht="15.75" thickBot="1">
      <c r="A19" s="735" t="s">
        <v>112</v>
      </c>
      <c r="B19" s="735"/>
      <c r="C19" s="735"/>
      <c r="D19" s="735"/>
      <c r="E19" s="735"/>
      <c r="F19" s="735"/>
      <c r="G19" s="735"/>
      <c r="H19" s="735"/>
      <c r="I19" s="735"/>
      <c r="J19" s="735"/>
    </row>
    <row r="20" spans="1:15" ht="25.5">
      <c r="A20" s="641" t="s">
        <v>5</v>
      </c>
      <c r="B20" s="641"/>
      <c r="C20" s="641"/>
      <c r="D20" s="641"/>
      <c r="E20" s="641"/>
      <c r="F20" s="641"/>
      <c r="G20" s="8" t="s">
        <v>6</v>
      </c>
      <c r="H20" s="9" t="s">
        <v>7</v>
      </c>
      <c r="I20" s="10" t="s">
        <v>8</v>
      </c>
      <c r="J20" s="11" t="s">
        <v>9</v>
      </c>
    </row>
    <row r="21" spans="1:15" ht="44.25" customHeight="1">
      <c r="A21" s="637" t="s">
        <v>113</v>
      </c>
      <c r="B21" s="638"/>
      <c r="C21" s="638"/>
      <c r="D21" s="638"/>
      <c r="E21" s="638"/>
      <c r="F21" s="639"/>
      <c r="G21" s="20" t="s">
        <v>15</v>
      </c>
      <c r="H21" s="15">
        <f>100000*6%/12</f>
        <v>500</v>
      </c>
      <c r="I21" s="15">
        <v>0.5</v>
      </c>
      <c r="J21" s="15"/>
      <c r="K21" s="169"/>
    </row>
    <row r="24" spans="1:15" ht="15.75" thickBot="1">
      <c r="A24" s="170" t="s">
        <v>114</v>
      </c>
      <c r="B24" s="170"/>
      <c r="C24" s="170"/>
      <c r="D24" s="170"/>
      <c r="E24"/>
      <c r="F24"/>
      <c r="G24"/>
      <c r="H24"/>
      <c r="I24"/>
      <c r="J24"/>
    </row>
    <row r="25" spans="1:15" ht="31.9" customHeight="1">
      <c r="A25" s="641" t="s">
        <v>5</v>
      </c>
      <c r="B25" s="641"/>
      <c r="C25" s="641"/>
      <c r="D25" s="641"/>
      <c r="E25" s="641"/>
      <c r="F25" s="641"/>
      <c r="G25" s="8" t="s">
        <v>6</v>
      </c>
      <c r="H25" s="9" t="s">
        <v>7</v>
      </c>
      <c r="I25" s="10" t="s">
        <v>8</v>
      </c>
      <c r="J25" s="11" t="s">
        <v>9</v>
      </c>
      <c r="O25" s="80"/>
    </row>
    <row r="26" spans="1:15" ht="31.9" customHeight="1">
      <c r="A26" s="637" t="s">
        <v>115</v>
      </c>
      <c r="B26" s="638"/>
      <c r="C26" s="638"/>
      <c r="D26" s="638"/>
      <c r="E26" s="638"/>
      <c r="F26" s="639"/>
      <c r="G26" s="20" t="s">
        <v>15</v>
      </c>
      <c r="H26" s="15">
        <v>0</v>
      </c>
      <c r="I26" s="15">
        <v>0.5</v>
      </c>
      <c r="J26" s="171"/>
    </row>
    <row r="27" spans="1:15" ht="31.9" customHeight="1">
      <c r="A27" s="501" t="s">
        <v>116</v>
      </c>
      <c r="B27" s="502"/>
      <c r="C27" s="502"/>
      <c r="D27" s="502"/>
      <c r="E27" s="502"/>
      <c r="F27" s="503"/>
      <c r="G27" s="20" t="s">
        <v>15</v>
      </c>
      <c r="H27" s="167">
        <v>5000</v>
      </c>
      <c r="I27" s="167">
        <v>0.5</v>
      </c>
      <c r="J27" s="172"/>
    </row>
    <row r="28" spans="1:15" ht="31.9" customHeight="1">
      <c r="A28" s="514" t="s">
        <v>117</v>
      </c>
      <c r="B28" s="514"/>
      <c r="C28" s="514"/>
      <c r="D28" s="514"/>
      <c r="E28" s="514"/>
      <c r="F28" s="514"/>
      <c r="G28" s="20" t="s">
        <v>15</v>
      </c>
      <c r="H28" s="167">
        <v>0</v>
      </c>
      <c r="I28" s="167">
        <v>0.5</v>
      </c>
      <c r="J28" s="172"/>
    </row>
    <row r="29" spans="1:15" ht="16.149999999999999" customHeight="1">
      <c r="A29" s="23"/>
      <c r="B29" s="23"/>
      <c r="C29" s="23"/>
      <c r="D29" s="23"/>
      <c r="E29" s="23"/>
      <c r="F29" s="23"/>
      <c r="G29" s="23"/>
      <c r="H29" s="23"/>
      <c r="I29" s="23"/>
      <c r="J29" s="23"/>
    </row>
    <row r="31" spans="1:15" ht="15.75" thickBot="1">
      <c r="A31" s="737" t="s">
        <v>118</v>
      </c>
      <c r="B31" s="737"/>
      <c r="C31" s="737"/>
      <c r="D31" s="737"/>
      <c r="E31" s="737"/>
    </row>
    <row r="32" spans="1:15" ht="25.5">
      <c r="A32" s="641" t="s">
        <v>5</v>
      </c>
      <c r="B32" s="641"/>
      <c r="C32" s="641"/>
      <c r="D32" s="641"/>
      <c r="E32" s="641"/>
      <c r="F32" s="641"/>
      <c r="G32" s="173" t="s">
        <v>6</v>
      </c>
      <c r="H32" s="9" t="s">
        <v>7</v>
      </c>
      <c r="I32" s="10" t="s">
        <v>8</v>
      </c>
      <c r="J32" s="11" t="s">
        <v>9</v>
      </c>
    </row>
    <row r="33" spans="1:12" ht="30" customHeight="1">
      <c r="A33" s="738" t="s">
        <v>119</v>
      </c>
      <c r="B33" s="739"/>
      <c r="C33" s="739"/>
      <c r="D33" s="739"/>
      <c r="E33" s="739"/>
      <c r="F33" s="740"/>
      <c r="G33" s="20" t="s">
        <v>15</v>
      </c>
      <c r="H33" s="15">
        <v>500</v>
      </c>
      <c r="I33" s="15">
        <v>0.5</v>
      </c>
      <c r="J33" s="171"/>
      <c r="K33" s="1"/>
    </row>
    <row r="34" spans="1:12" ht="26.25" customHeight="1">
      <c r="A34" s="741" t="s">
        <v>120</v>
      </c>
      <c r="B34" s="742"/>
      <c r="C34" s="742"/>
      <c r="D34" s="742"/>
      <c r="E34" s="742"/>
      <c r="F34" s="743"/>
      <c r="G34" s="20" t="s">
        <v>15</v>
      </c>
      <c r="H34" s="18">
        <v>0</v>
      </c>
      <c r="I34" s="19">
        <v>0.5</v>
      </c>
      <c r="J34" s="171"/>
      <c r="K34" s="1"/>
    </row>
    <row r="35" spans="1:12" ht="22.5" customHeight="1">
      <c r="A35" s="514" t="s">
        <v>121</v>
      </c>
      <c r="B35" s="514"/>
      <c r="C35" s="514"/>
      <c r="D35" s="514"/>
      <c r="E35" s="514"/>
      <c r="F35" s="514"/>
      <c r="G35" s="20" t="s">
        <v>15</v>
      </c>
      <c r="H35" s="167">
        <v>3000</v>
      </c>
      <c r="I35" s="167">
        <v>0.5</v>
      </c>
      <c r="J35" s="174"/>
    </row>
    <row r="36" spans="1:12" ht="15" customHeight="1">
      <c r="A36" s="175"/>
      <c r="B36" s="175"/>
      <c r="C36" s="175"/>
      <c r="D36" s="175"/>
      <c r="E36" s="175"/>
      <c r="F36" s="175"/>
      <c r="G36" s="176"/>
      <c r="H36" s="177"/>
      <c r="I36" s="178"/>
      <c r="J36" s="176"/>
    </row>
    <row r="37" spans="1:12" ht="15.75" thickBot="1">
      <c r="A37" s="744" t="s">
        <v>122</v>
      </c>
      <c r="B37" s="744"/>
      <c r="C37" s="744"/>
      <c r="D37" s="744"/>
    </row>
    <row r="38" spans="1:12" ht="25.5">
      <c r="A38" s="641" t="s">
        <v>5</v>
      </c>
      <c r="B38" s="641"/>
      <c r="C38" s="641"/>
      <c r="D38" s="641"/>
      <c r="E38" s="641"/>
      <c r="F38" s="641"/>
      <c r="G38" s="8" t="s">
        <v>6</v>
      </c>
      <c r="H38" s="9" t="s">
        <v>7</v>
      </c>
      <c r="I38" s="179" t="s">
        <v>8</v>
      </c>
      <c r="J38" s="20" t="s">
        <v>9</v>
      </c>
    </row>
    <row r="39" spans="1:12" ht="24">
      <c r="A39" s="501" t="s">
        <v>123</v>
      </c>
      <c r="B39" s="502"/>
      <c r="C39" s="502"/>
      <c r="D39" s="502"/>
      <c r="E39" s="502"/>
      <c r="F39" s="503"/>
      <c r="G39" s="20" t="s">
        <v>15</v>
      </c>
      <c r="H39" s="180">
        <f>1180/1.18</f>
        <v>1000</v>
      </c>
      <c r="I39" s="19">
        <v>0.5</v>
      </c>
      <c r="J39" s="19"/>
      <c r="K39" s="169"/>
    </row>
    <row r="42" spans="1:12" ht="15.75" thickBot="1">
      <c r="A42" s="181" t="s">
        <v>124</v>
      </c>
      <c r="B42" s="181"/>
      <c r="C42" s="181"/>
      <c r="D42"/>
      <c r="E42"/>
      <c r="F42"/>
      <c r="G42"/>
      <c r="H42"/>
      <c r="I42"/>
      <c r="J42"/>
    </row>
    <row r="43" spans="1:12" ht="25.5">
      <c r="A43" s="641" t="s">
        <v>5</v>
      </c>
      <c r="B43" s="641"/>
      <c r="C43" s="641"/>
      <c r="D43" s="641"/>
      <c r="E43" s="641"/>
      <c r="F43" s="641"/>
      <c r="G43" s="8" t="s">
        <v>6</v>
      </c>
      <c r="H43" s="9" t="s">
        <v>7</v>
      </c>
      <c r="I43" s="10" t="s">
        <v>8</v>
      </c>
      <c r="J43" s="11" t="s">
        <v>9</v>
      </c>
      <c r="K43" s="1"/>
    </row>
    <row r="44" spans="1:12" ht="30.75" customHeight="1">
      <c r="A44" s="738" t="s">
        <v>125</v>
      </c>
      <c r="B44" s="739"/>
      <c r="C44" s="739"/>
      <c r="D44" s="739"/>
      <c r="E44" s="739"/>
      <c r="F44" s="740"/>
      <c r="G44" s="20" t="s">
        <v>15</v>
      </c>
      <c r="H44" s="15">
        <f>250+1300+550+5300-(550000*1%)</f>
        <v>1900</v>
      </c>
      <c r="I44" s="15">
        <v>0.5</v>
      </c>
      <c r="J44" s="171"/>
      <c r="K44" s="1"/>
      <c r="L44" s="80"/>
    </row>
    <row r="46" spans="1:12" ht="15.75" thickBot="1">
      <c r="A46" s="737" t="s">
        <v>126</v>
      </c>
      <c r="B46" s="737"/>
      <c r="C46" s="737"/>
      <c r="D46" s="737"/>
      <c r="E46" s="737"/>
      <c r="F46" s="737"/>
    </row>
    <row r="47" spans="1:12" ht="25.5">
      <c r="A47" s="641" t="s">
        <v>5</v>
      </c>
      <c r="B47" s="641"/>
      <c r="C47" s="641"/>
      <c r="D47" s="641"/>
      <c r="E47" s="641"/>
      <c r="F47" s="641"/>
      <c r="G47" s="8" t="s">
        <v>6</v>
      </c>
      <c r="H47" s="9" t="s">
        <v>7</v>
      </c>
      <c r="I47" s="10" t="s">
        <v>8</v>
      </c>
      <c r="J47" s="11" t="s">
        <v>9</v>
      </c>
      <c r="K47" s="1"/>
    </row>
    <row r="48" spans="1:12" ht="24">
      <c r="A48" s="738" t="s">
        <v>127</v>
      </c>
      <c r="B48" s="739"/>
      <c r="C48" s="739"/>
      <c r="D48" s="739"/>
      <c r="E48" s="739"/>
      <c r="F48" s="740"/>
      <c r="G48" s="20" t="s">
        <v>15</v>
      </c>
      <c r="H48" s="15">
        <f>20000*3*3</f>
        <v>180000</v>
      </c>
      <c r="I48" s="15">
        <v>0.5</v>
      </c>
      <c r="J48" s="171"/>
      <c r="K48" s="1"/>
    </row>
  </sheetData>
  <mergeCells count="35">
    <mergeCell ref="A43:F43"/>
    <mergeCell ref="A44:F44"/>
    <mergeCell ref="A46:F46"/>
    <mergeCell ref="A47:F47"/>
    <mergeCell ref="A48:F48"/>
    <mergeCell ref="A39:F39"/>
    <mergeCell ref="A25:F25"/>
    <mergeCell ref="A26:F26"/>
    <mergeCell ref="A27:F27"/>
    <mergeCell ref="A28:F28"/>
    <mergeCell ref="A31:E31"/>
    <mergeCell ref="A32:F32"/>
    <mergeCell ref="A33:F33"/>
    <mergeCell ref="A34:F34"/>
    <mergeCell ref="A35:F35"/>
    <mergeCell ref="A37:D37"/>
    <mergeCell ref="A38:F38"/>
    <mergeCell ref="A21:F21"/>
    <mergeCell ref="A10:F10"/>
    <mergeCell ref="K10:K11"/>
    <mergeCell ref="A11:F11"/>
    <mergeCell ref="A12:D12"/>
    <mergeCell ref="A13:F13"/>
    <mergeCell ref="A14:F14"/>
    <mergeCell ref="A15:F15"/>
    <mergeCell ref="A16:F16"/>
    <mergeCell ref="A17:F17"/>
    <mergeCell ref="A19:J19"/>
    <mergeCell ref="A20:F20"/>
    <mergeCell ref="A9:F9"/>
    <mergeCell ref="A1:J1"/>
    <mergeCell ref="B2:J2"/>
    <mergeCell ref="A4:J4"/>
    <mergeCell ref="A6:J6"/>
    <mergeCell ref="A8:J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1"/>
  <sheetViews>
    <sheetView workbookViewId="0">
      <selection activeCell="E78" sqref="B78:J84"/>
    </sheetView>
  </sheetViews>
  <sheetFormatPr defaultRowHeight="15"/>
  <cols>
    <col min="1" max="1" width="4.42578125" customWidth="1"/>
    <col min="2" max="2" width="7.42578125" customWidth="1"/>
    <col min="5" max="5" width="58.42578125" customWidth="1"/>
    <col min="6" max="6" width="17.5703125" customWidth="1"/>
    <col min="7" max="7" width="9.85546875" customWidth="1"/>
    <col min="8" max="8" width="18.7109375" customWidth="1"/>
  </cols>
  <sheetData>
    <row r="1" spans="1:10" ht="20.25" thickBot="1">
      <c r="A1" s="182"/>
      <c r="B1" s="182"/>
      <c r="C1" s="182"/>
      <c r="D1" s="182"/>
      <c r="E1" s="182"/>
      <c r="F1" s="182"/>
      <c r="G1" s="183"/>
      <c r="H1" s="182"/>
      <c r="I1" s="184"/>
      <c r="J1" s="185"/>
    </row>
    <row r="2" spans="1:10">
      <c r="A2" s="745" t="s">
        <v>128</v>
      </c>
      <c r="B2" s="746"/>
      <c r="C2" s="746"/>
      <c r="D2" s="746"/>
      <c r="E2" s="746"/>
      <c r="F2" s="746"/>
      <c r="G2" s="746"/>
      <c r="H2" s="747"/>
      <c r="I2" s="184"/>
      <c r="J2" s="185"/>
    </row>
    <row r="3" spans="1:10">
      <c r="A3" s="748" t="s">
        <v>129</v>
      </c>
      <c r="B3" s="749"/>
      <c r="C3" s="749"/>
      <c r="D3" s="749"/>
      <c r="E3" s="749"/>
      <c r="F3" s="749"/>
      <c r="G3" s="749"/>
      <c r="H3" s="750" t="s">
        <v>130</v>
      </c>
      <c r="I3" s="751" t="s">
        <v>8</v>
      </c>
      <c r="J3" s="752" t="s">
        <v>9</v>
      </c>
    </row>
    <row r="4" spans="1:10">
      <c r="A4" s="748"/>
      <c r="B4" s="749"/>
      <c r="C4" s="749"/>
      <c r="D4" s="749"/>
      <c r="E4" s="749"/>
      <c r="F4" s="749"/>
      <c r="G4" s="749"/>
      <c r="H4" s="750"/>
      <c r="I4" s="751"/>
      <c r="J4" s="752"/>
    </row>
    <row r="5" spans="1:10">
      <c r="A5" s="753">
        <v>16</v>
      </c>
      <c r="B5" s="756" t="s">
        <v>131</v>
      </c>
      <c r="C5" s="757"/>
      <c r="D5" s="757"/>
      <c r="E5" s="757"/>
      <c r="F5" s="757"/>
      <c r="G5" s="758"/>
      <c r="H5" s="186">
        <f>G6+G10+G13+G16</f>
        <v>80000</v>
      </c>
      <c r="I5" s="759">
        <v>0.5</v>
      </c>
      <c r="J5" s="172"/>
    </row>
    <row r="6" spans="1:10" ht="27.75" customHeight="1">
      <c r="A6" s="754"/>
      <c r="B6" s="762" t="s">
        <v>132</v>
      </c>
      <c r="C6" s="756" t="s">
        <v>133</v>
      </c>
      <c r="D6" s="757"/>
      <c r="E6" s="757"/>
      <c r="F6" s="757"/>
      <c r="G6" s="187">
        <f>F7</f>
        <v>80000</v>
      </c>
      <c r="H6" s="774"/>
      <c r="I6" s="760"/>
      <c r="J6" s="172"/>
    </row>
    <row r="7" spans="1:10" ht="33.75" customHeight="1">
      <c r="A7" s="754"/>
      <c r="B7" s="763"/>
      <c r="C7" s="188" t="s">
        <v>134</v>
      </c>
      <c r="D7" s="777" t="s">
        <v>135</v>
      </c>
      <c r="E7" s="778"/>
      <c r="F7" s="189">
        <f>H54</f>
        <v>80000</v>
      </c>
      <c r="G7" s="190"/>
      <c r="H7" s="775"/>
      <c r="I7" s="761"/>
      <c r="J7" s="172"/>
    </row>
    <row r="8" spans="1:10" ht="72.75" customHeight="1">
      <c r="A8" s="754"/>
      <c r="B8" s="764"/>
      <c r="C8" s="191" t="s">
        <v>136</v>
      </c>
      <c r="D8" s="765" t="s">
        <v>137</v>
      </c>
      <c r="E8" s="766"/>
      <c r="F8" s="192"/>
      <c r="G8" s="190"/>
      <c r="H8" s="775"/>
      <c r="I8" s="193"/>
      <c r="J8" s="172"/>
    </row>
    <row r="9" spans="1:10" ht="27.75" customHeight="1">
      <c r="A9" s="754"/>
      <c r="B9" s="194" t="s">
        <v>138</v>
      </c>
      <c r="C9" s="765" t="s">
        <v>139</v>
      </c>
      <c r="D9" s="779"/>
      <c r="E9" s="779"/>
      <c r="F9" s="766"/>
      <c r="G9" s="195"/>
      <c r="H9" s="775"/>
      <c r="I9" s="193"/>
      <c r="J9" s="172"/>
    </row>
    <row r="10" spans="1:10" ht="53.25" customHeight="1">
      <c r="A10" s="754"/>
      <c r="B10" s="769" t="s">
        <v>140</v>
      </c>
      <c r="C10" s="765" t="s">
        <v>141</v>
      </c>
      <c r="D10" s="779"/>
      <c r="E10" s="779"/>
      <c r="F10" s="766"/>
      <c r="G10" s="195">
        <f>F11+F12</f>
        <v>0</v>
      </c>
      <c r="H10" s="775"/>
      <c r="I10" s="759"/>
      <c r="J10" s="172"/>
    </row>
    <row r="11" spans="1:10" ht="31.5" customHeight="1">
      <c r="A11" s="754"/>
      <c r="B11" s="769"/>
      <c r="C11" s="188" t="s">
        <v>142</v>
      </c>
      <c r="D11" s="765" t="s">
        <v>143</v>
      </c>
      <c r="E11" s="766"/>
      <c r="F11" s="195">
        <v>0</v>
      </c>
      <c r="G11" s="767"/>
      <c r="H11" s="775"/>
      <c r="I11" s="760"/>
      <c r="J11" s="172"/>
    </row>
    <row r="12" spans="1:10" ht="29.25" customHeight="1">
      <c r="A12" s="754"/>
      <c r="B12" s="769"/>
      <c r="C12" s="188" t="s">
        <v>144</v>
      </c>
      <c r="D12" s="765" t="s">
        <v>145</v>
      </c>
      <c r="E12" s="766"/>
      <c r="F12" s="195"/>
      <c r="G12" s="768"/>
      <c r="H12" s="775"/>
      <c r="I12" s="760"/>
      <c r="J12" s="172"/>
    </row>
    <row r="13" spans="1:10" ht="51.75" customHeight="1">
      <c r="A13" s="754"/>
      <c r="B13" s="769" t="s">
        <v>146</v>
      </c>
      <c r="C13" s="770" t="s">
        <v>147</v>
      </c>
      <c r="D13" s="771"/>
      <c r="E13" s="771"/>
      <c r="F13" s="771"/>
      <c r="G13" s="187">
        <f>F14+F15</f>
        <v>0</v>
      </c>
      <c r="H13" s="775"/>
      <c r="I13" s="760"/>
      <c r="J13" s="172"/>
    </row>
    <row r="14" spans="1:10" ht="29.25" customHeight="1">
      <c r="A14" s="754"/>
      <c r="B14" s="769"/>
      <c r="C14" s="188" t="s">
        <v>148</v>
      </c>
      <c r="D14" s="765" t="s">
        <v>143</v>
      </c>
      <c r="E14" s="766"/>
      <c r="F14" s="187"/>
      <c r="G14" s="767"/>
      <c r="H14" s="775"/>
      <c r="I14" s="760"/>
      <c r="J14" s="172"/>
    </row>
    <row r="15" spans="1:10" ht="37.5" customHeight="1">
      <c r="A15" s="754"/>
      <c r="B15" s="769"/>
      <c r="C15" s="188" t="s">
        <v>149</v>
      </c>
      <c r="D15" s="765" t="s">
        <v>145</v>
      </c>
      <c r="E15" s="766"/>
      <c r="F15" s="187"/>
      <c r="G15" s="768"/>
      <c r="H15" s="775"/>
      <c r="I15" s="760"/>
      <c r="J15" s="172"/>
    </row>
    <row r="16" spans="1:10" ht="32.25" customHeight="1">
      <c r="A16" s="755"/>
      <c r="B16" s="196" t="s">
        <v>150</v>
      </c>
      <c r="C16" s="772" t="s">
        <v>151</v>
      </c>
      <c r="D16" s="773"/>
      <c r="E16" s="773"/>
      <c r="F16" s="773"/>
      <c r="G16" s="195"/>
      <c r="H16" s="776"/>
      <c r="I16" s="761"/>
      <c r="J16" s="172"/>
    </row>
    <row r="17" spans="1:10" ht="31.5" customHeight="1">
      <c r="A17" s="753">
        <v>17</v>
      </c>
      <c r="B17" s="756" t="s">
        <v>152</v>
      </c>
      <c r="C17" s="757"/>
      <c r="D17" s="757"/>
      <c r="E17" s="757"/>
      <c r="F17" s="757"/>
      <c r="G17" s="758"/>
      <c r="H17" s="197">
        <f>G18+G19+G20</f>
        <v>5500</v>
      </c>
      <c r="I17" s="759">
        <v>0.5</v>
      </c>
      <c r="J17" s="172"/>
    </row>
    <row r="18" spans="1:10" ht="20.25" customHeight="1">
      <c r="A18" s="754"/>
      <c r="B18" s="198" t="s">
        <v>153</v>
      </c>
      <c r="C18" s="765" t="s">
        <v>154</v>
      </c>
      <c r="D18" s="779"/>
      <c r="E18" s="779"/>
      <c r="F18" s="766"/>
      <c r="G18" s="199">
        <f>'მოგება-სამუშაო რვეული'!H10</f>
        <v>5000</v>
      </c>
      <c r="H18" s="774"/>
      <c r="I18" s="760"/>
      <c r="J18" s="172"/>
    </row>
    <row r="19" spans="1:10" ht="18.75" customHeight="1">
      <c r="A19" s="754"/>
      <c r="B19" s="200" t="s">
        <v>155</v>
      </c>
      <c r="C19" s="782" t="s">
        <v>156</v>
      </c>
      <c r="D19" s="783"/>
      <c r="E19" s="783"/>
      <c r="F19" s="784"/>
      <c r="G19" s="201"/>
      <c r="H19" s="775"/>
      <c r="I19" s="760"/>
      <c r="J19" s="172"/>
    </row>
    <row r="20" spans="1:10" ht="17.25" customHeight="1">
      <c r="A20" s="755"/>
      <c r="B20" s="202" t="s">
        <v>157</v>
      </c>
      <c r="C20" s="785" t="s">
        <v>158</v>
      </c>
      <c r="D20" s="786"/>
      <c r="E20" s="786"/>
      <c r="F20" s="787"/>
      <c r="G20" s="203">
        <f>'მოგება-სამუშაო რვეული'!H21</f>
        <v>500</v>
      </c>
      <c r="H20" s="776"/>
      <c r="I20" s="761"/>
      <c r="J20" s="172"/>
    </row>
    <row r="21" spans="1:10" ht="35.25" customHeight="1">
      <c r="A21" s="753">
        <v>18</v>
      </c>
      <c r="B21" s="794" t="s">
        <v>159</v>
      </c>
      <c r="C21" s="795"/>
      <c r="D21" s="795"/>
      <c r="E21" s="795"/>
      <c r="F21" s="795"/>
      <c r="G21" s="796"/>
      <c r="H21" s="204">
        <f>G22+G28+G29+G30</f>
        <v>211700</v>
      </c>
      <c r="I21" s="193">
        <v>0.5</v>
      </c>
      <c r="J21" s="172"/>
    </row>
    <row r="22" spans="1:10" ht="37.5" customHeight="1">
      <c r="A22" s="754"/>
      <c r="B22" s="797" t="s">
        <v>160</v>
      </c>
      <c r="C22" s="800" t="s">
        <v>161</v>
      </c>
      <c r="D22" s="795"/>
      <c r="E22" s="795"/>
      <c r="F22" s="795"/>
      <c r="G22" s="187">
        <f>F23+F24+F25+F26</f>
        <v>5000</v>
      </c>
      <c r="H22" s="205"/>
      <c r="I22" s="193">
        <v>0.5</v>
      </c>
      <c r="J22" s="172"/>
    </row>
    <row r="23" spans="1:10" ht="36.75" customHeight="1">
      <c r="A23" s="754"/>
      <c r="B23" s="798"/>
      <c r="C23" s="206" t="s">
        <v>162</v>
      </c>
      <c r="D23" s="765" t="s">
        <v>163</v>
      </c>
      <c r="E23" s="766"/>
      <c r="F23" s="207"/>
      <c r="G23" s="208"/>
      <c r="H23" s="209"/>
      <c r="I23" s="759">
        <v>0.5</v>
      </c>
      <c r="J23" s="172"/>
    </row>
    <row r="24" spans="1:10" ht="39.75" customHeight="1">
      <c r="A24" s="754"/>
      <c r="B24" s="798"/>
      <c r="C24" s="206" t="s">
        <v>164</v>
      </c>
      <c r="D24" s="780" t="s">
        <v>165</v>
      </c>
      <c r="E24" s="781"/>
      <c r="F24" s="207">
        <f>'მოგება-სამუშაო რვეული'!H27</f>
        <v>5000</v>
      </c>
      <c r="G24" s="210"/>
      <c r="H24" s="211"/>
      <c r="I24" s="760"/>
      <c r="J24" s="172"/>
    </row>
    <row r="25" spans="1:10" ht="25.5" customHeight="1">
      <c r="A25" s="754"/>
      <c r="B25" s="798"/>
      <c r="C25" s="206" t="s">
        <v>166</v>
      </c>
      <c r="D25" s="780" t="s">
        <v>167</v>
      </c>
      <c r="E25" s="781"/>
      <c r="F25" s="207"/>
      <c r="G25" s="210"/>
      <c r="H25" s="211"/>
      <c r="I25" s="760"/>
      <c r="J25" s="172"/>
    </row>
    <row r="26" spans="1:10" ht="34.5" customHeight="1">
      <c r="A26" s="754"/>
      <c r="B26" s="798"/>
      <c r="C26" s="206" t="s">
        <v>168</v>
      </c>
      <c r="D26" s="780" t="s">
        <v>169</v>
      </c>
      <c r="E26" s="781"/>
      <c r="F26" s="207"/>
      <c r="G26" s="210"/>
      <c r="H26" s="211"/>
      <c r="I26" s="760"/>
      <c r="J26" s="172"/>
    </row>
    <row r="27" spans="1:10" ht="34.5" customHeight="1">
      <c r="A27" s="754"/>
      <c r="B27" s="799"/>
      <c r="C27" s="206" t="s">
        <v>170</v>
      </c>
      <c r="D27" s="780" t="s">
        <v>171</v>
      </c>
      <c r="E27" s="781"/>
      <c r="F27" s="212"/>
      <c r="G27" s="213"/>
      <c r="H27" s="214"/>
      <c r="I27" s="761"/>
      <c r="J27" s="172"/>
    </row>
    <row r="28" spans="1:10" ht="45.75" customHeight="1">
      <c r="A28" s="754"/>
      <c r="B28" s="215" t="s">
        <v>172</v>
      </c>
      <c r="C28" s="780" t="s">
        <v>173</v>
      </c>
      <c r="D28" s="788"/>
      <c r="E28" s="788"/>
      <c r="F28" s="781"/>
      <c r="G28" s="187">
        <f>'მოგება-სამუშაო რვეული'!H48</f>
        <v>180000</v>
      </c>
      <c r="H28" s="774"/>
      <c r="I28" s="193"/>
      <c r="J28" s="172"/>
    </row>
    <row r="29" spans="1:10" ht="42" customHeight="1">
      <c r="A29" s="754"/>
      <c r="B29" s="216" t="s">
        <v>174</v>
      </c>
      <c r="C29" s="765" t="s">
        <v>175</v>
      </c>
      <c r="D29" s="779"/>
      <c r="E29" s="779"/>
      <c r="F29" s="766"/>
      <c r="G29" s="217">
        <f>5000+1700+20000</f>
        <v>26700</v>
      </c>
      <c r="H29" s="775"/>
      <c r="I29" s="193">
        <v>0.5</v>
      </c>
      <c r="J29" s="172"/>
    </row>
    <row r="30" spans="1:10" ht="71.25" customHeight="1">
      <c r="A30" s="755"/>
      <c r="B30" s="218" t="s">
        <v>176</v>
      </c>
      <c r="C30" s="765" t="s">
        <v>177</v>
      </c>
      <c r="D30" s="779"/>
      <c r="E30" s="779"/>
      <c r="F30" s="766"/>
      <c r="G30" s="219"/>
      <c r="H30" s="776"/>
      <c r="I30" s="193"/>
      <c r="J30" s="172"/>
    </row>
    <row r="31" spans="1:10" ht="22.5" customHeight="1">
      <c r="A31" s="789" t="s">
        <v>178</v>
      </c>
      <c r="B31" s="791" t="s">
        <v>179</v>
      </c>
      <c r="C31" s="792"/>
      <c r="D31" s="792"/>
      <c r="E31" s="792"/>
      <c r="F31" s="792"/>
      <c r="G31" s="793"/>
      <c r="H31" s="186">
        <f>'მოგება-სამუშაო რვეული'!H33+'მოგება-სამუშაო რვეული'!H35+'მოგება-სამუშაო რვეული'!H39</f>
        <v>4500</v>
      </c>
      <c r="I31" s="803">
        <v>0.5</v>
      </c>
      <c r="J31" s="220"/>
    </row>
    <row r="32" spans="1:10" ht="25.5" customHeight="1">
      <c r="A32" s="790"/>
      <c r="B32" s="221" t="s">
        <v>180</v>
      </c>
      <c r="C32" s="805" t="s">
        <v>181</v>
      </c>
      <c r="D32" s="806"/>
      <c r="E32" s="806"/>
      <c r="F32" s="807"/>
      <c r="G32" s="217">
        <f>'მოგება-სამუშაო რვეული'!H39</f>
        <v>1000</v>
      </c>
      <c r="H32" s="205"/>
      <c r="I32" s="804"/>
      <c r="J32" s="172"/>
    </row>
    <row r="33" spans="1:10" ht="26.25" customHeight="1" thickBot="1">
      <c r="A33" s="222">
        <v>20</v>
      </c>
      <c r="B33" s="791" t="s">
        <v>182</v>
      </c>
      <c r="C33" s="792"/>
      <c r="D33" s="792"/>
      <c r="E33" s="792"/>
      <c r="F33" s="792"/>
      <c r="G33" s="793"/>
      <c r="H33" s="223">
        <f>'მოგება-სამუშაო რვეული'!H44</f>
        <v>1900</v>
      </c>
      <c r="I33" s="193">
        <v>0.5</v>
      </c>
      <c r="J33" s="172"/>
    </row>
    <row r="34" spans="1:10" ht="21" customHeight="1">
      <c r="A34" s="224">
        <v>21</v>
      </c>
      <c r="B34" s="791" t="s">
        <v>183</v>
      </c>
      <c r="C34" s="792"/>
      <c r="D34" s="792"/>
      <c r="E34" s="792"/>
      <c r="F34" s="792"/>
      <c r="G34" s="793"/>
      <c r="H34" s="225">
        <f>SUM(H5:H33)</f>
        <v>303600</v>
      </c>
      <c r="I34" s="193">
        <v>0.5</v>
      </c>
      <c r="J34" s="220"/>
    </row>
    <row r="35" spans="1:10" ht="29.25" customHeight="1">
      <c r="A35" s="224">
        <v>22</v>
      </c>
      <c r="B35" s="791" t="s">
        <v>184</v>
      </c>
      <c r="C35" s="792"/>
      <c r="D35" s="792"/>
      <c r="E35" s="792"/>
      <c r="F35" s="792"/>
      <c r="G35" s="793"/>
      <c r="H35" s="226"/>
      <c r="I35" s="193"/>
      <c r="J35" s="220"/>
    </row>
    <row r="36" spans="1:10" ht="23.25" customHeight="1">
      <c r="A36" s="224">
        <v>23</v>
      </c>
      <c r="B36" s="791" t="s">
        <v>185</v>
      </c>
      <c r="C36" s="792"/>
      <c r="D36" s="792"/>
      <c r="E36" s="792"/>
      <c r="F36" s="792"/>
      <c r="G36" s="793"/>
      <c r="H36" s="225">
        <f>(H34-H35)/0.85</f>
        <v>357176.4705882353</v>
      </c>
      <c r="I36" s="808">
        <v>0.5</v>
      </c>
      <c r="J36" s="172"/>
    </row>
    <row r="37" spans="1:10" ht="29.25" customHeight="1">
      <c r="A37" s="224">
        <v>24</v>
      </c>
      <c r="B37" s="791" t="s">
        <v>186</v>
      </c>
      <c r="C37" s="792"/>
      <c r="D37" s="792"/>
      <c r="E37" s="792"/>
      <c r="F37" s="792"/>
      <c r="G37" s="793"/>
      <c r="H37" s="225">
        <f>H36*15%</f>
        <v>53576.470588235294</v>
      </c>
      <c r="I37" s="808"/>
      <c r="J37" s="172"/>
    </row>
    <row r="38" spans="1:10" ht="24" customHeight="1">
      <c r="A38" s="753">
        <v>25</v>
      </c>
      <c r="B38" s="821" t="s">
        <v>187</v>
      </c>
      <c r="C38" s="822"/>
      <c r="D38" s="822"/>
      <c r="E38" s="822"/>
      <c r="F38" s="822"/>
      <c r="G38" s="823"/>
      <c r="H38" s="227">
        <f>G39+G40+G41</f>
        <v>12647.058823529413</v>
      </c>
      <c r="I38" s="759">
        <v>0.5</v>
      </c>
      <c r="J38" s="172"/>
    </row>
    <row r="39" spans="1:10" ht="59.25" customHeight="1">
      <c r="A39" s="754"/>
      <c r="B39" s="200" t="s">
        <v>188</v>
      </c>
      <c r="C39" s="765" t="s">
        <v>189</v>
      </c>
      <c r="D39" s="779"/>
      <c r="E39" s="779"/>
      <c r="F39" s="766"/>
      <c r="G39" s="228">
        <f>H58</f>
        <v>12647.058823529413</v>
      </c>
      <c r="H39" s="801"/>
      <c r="I39" s="760"/>
      <c r="J39" s="172"/>
    </row>
    <row r="40" spans="1:10" ht="58.5" customHeight="1">
      <c r="A40" s="754"/>
      <c r="B40" s="229" t="s">
        <v>190</v>
      </c>
      <c r="C40" s="765" t="s">
        <v>191</v>
      </c>
      <c r="D40" s="779"/>
      <c r="E40" s="779"/>
      <c r="F40" s="766"/>
      <c r="G40" s="230"/>
      <c r="H40" s="802"/>
      <c r="I40" s="760"/>
      <c r="J40" s="172"/>
    </row>
    <row r="41" spans="1:10" ht="64.5" customHeight="1">
      <c r="A41" s="231"/>
      <c r="B41" s="232" t="s">
        <v>192</v>
      </c>
      <c r="C41" s="765" t="s">
        <v>193</v>
      </c>
      <c r="D41" s="779"/>
      <c r="E41" s="779"/>
      <c r="F41" s="766"/>
      <c r="G41" s="230"/>
      <c r="H41" s="233"/>
      <c r="I41" s="761"/>
      <c r="J41" s="172"/>
    </row>
    <row r="42" spans="1:10" ht="43.5" customHeight="1">
      <c r="A42" s="234">
        <v>26</v>
      </c>
      <c r="B42" s="809" t="s">
        <v>194</v>
      </c>
      <c r="C42" s="810"/>
      <c r="D42" s="810"/>
      <c r="E42" s="810"/>
      <c r="F42" s="810"/>
      <c r="G42" s="811"/>
      <c r="H42" s="225">
        <f>H37-H38</f>
        <v>40929.411764705881</v>
      </c>
      <c r="I42" s="193">
        <v>0.5</v>
      </c>
      <c r="J42" s="172"/>
    </row>
    <row r="43" spans="1:10" ht="40.5" customHeight="1">
      <c r="A43" s="812">
        <v>27</v>
      </c>
      <c r="B43" s="756" t="s">
        <v>195</v>
      </c>
      <c r="C43" s="814"/>
      <c r="D43" s="814"/>
      <c r="E43" s="814"/>
      <c r="F43" s="814"/>
      <c r="G43" s="815"/>
      <c r="H43" s="227">
        <f>(G44+G45+G46)/0.85*15%</f>
        <v>6176.4705882352937</v>
      </c>
      <c r="I43" s="193">
        <v>0.5</v>
      </c>
      <c r="J43" s="172"/>
    </row>
    <row r="44" spans="1:10" ht="38.25" customHeight="1">
      <c r="A44" s="813"/>
      <c r="B44" s="200" t="s">
        <v>196</v>
      </c>
      <c r="C44" s="765" t="s">
        <v>197</v>
      </c>
      <c r="D44" s="779"/>
      <c r="E44" s="779"/>
      <c r="F44" s="766"/>
      <c r="G44" s="235">
        <f>F67</f>
        <v>20000</v>
      </c>
      <c r="H44" s="816"/>
      <c r="I44" s="236">
        <v>0.5</v>
      </c>
      <c r="J44" s="172"/>
    </row>
    <row r="45" spans="1:10" ht="45.75" customHeight="1">
      <c r="A45" s="813"/>
      <c r="B45" s="200" t="s">
        <v>198</v>
      </c>
      <c r="C45" s="765" t="s">
        <v>199</v>
      </c>
      <c r="D45" s="779"/>
      <c r="E45" s="779"/>
      <c r="F45" s="766"/>
      <c r="G45" s="235">
        <f>F66</f>
        <v>15000</v>
      </c>
      <c r="H45" s="817"/>
      <c r="I45" s="236">
        <v>0.5</v>
      </c>
      <c r="J45" s="172"/>
    </row>
    <row r="46" spans="1:10" ht="45.75" customHeight="1" thickBot="1">
      <c r="A46" s="813"/>
      <c r="B46" s="198" t="s">
        <v>200</v>
      </c>
      <c r="C46" s="818" t="s">
        <v>201</v>
      </c>
      <c r="D46" s="819"/>
      <c r="E46" s="819"/>
      <c r="F46" s="820"/>
      <c r="G46" s="237"/>
      <c r="H46" s="817"/>
      <c r="I46" s="238"/>
      <c r="J46" s="172"/>
    </row>
    <row r="47" spans="1:10" ht="45.75" customHeight="1" thickBot="1">
      <c r="A47" s="239">
        <v>28</v>
      </c>
      <c r="B47" s="829" t="s">
        <v>202</v>
      </c>
      <c r="C47" s="830"/>
      <c r="D47" s="830"/>
      <c r="E47" s="830"/>
      <c r="F47" s="830"/>
      <c r="G47" s="830"/>
      <c r="H47" s="240">
        <f>H42-H43</f>
        <v>34752.941176470587</v>
      </c>
      <c r="I47" s="193">
        <v>0.5</v>
      </c>
      <c r="J47" s="172"/>
    </row>
    <row r="48" spans="1:10" ht="45.75" customHeight="1" thickBot="1">
      <c r="A48" s="241">
        <v>29</v>
      </c>
      <c r="B48" s="831" t="s">
        <v>203</v>
      </c>
      <c r="C48" s="830"/>
      <c r="D48" s="830"/>
      <c r="E48" s="830"/>
      <c r="F48" s="830"/>
      <c r="G48" s="830"/>
      <c r="H48" s="242"/>
      <c r="I48" s="193"/>
      <c r="J48" s="172"/>
    </row>
    <row r="49" spans="1:10">
      <c r="A49" s="243"/>
      <c r="B49" s="243"/>
      <c r="C49" s="243"/>
      <c r="D49" s="243"/>
      <c r="E49" s="243"/>
      <c r="F49" s="244"/>
      <c r="G49" s="244"/>
      <c r="H49" s="245"/>
      <c r="I49" s="184"/>
      <c r="J49" s="185"/>
    </row>
    <row r="50" spans="1:10" ht="15.75" thickBot="1">
      <c r="A50" s="243"/>
      <c r="B50" s="243"/>
      <c r="C50" s="243"/>
      <c r="D50" s="243"/>
      <c r="E50" s="243"/>
      <c r="F50" s="244"/>
      <c r="G50" s="832" t="s">
        <v>204</v>
      </c>
      <c r="H50" s="832"/>
      <c r="I50" s="246"/>
      <c r="J50" s="185"/>
    </row>
    <row r="51" spans="1:10" ht="48" customHeight="1">
      <c r="A51" s="247"/>
      <c r="B51" s="833" t="s">
        <v>205</v>
      </c>
      <c r="C51" s="833"/>
      <c r="D51" s="833"/>
      <c r="E51" s="833"/>
      <c r="F51" s="833"/>
      <c r="G51" s="833"/>
      <c r="H51" s="834"/>
      <c r="I51" s="184"/>
      <c r="J51" s="185"/>
    </row>
    <row r="52" spans="1:10" ht="15.75" thickBot="1">
      <c r="A52" s="248"/>
      <c r="B52" s="249"/>
      <c r="C52" s="249"/>
      <c r="D52" s="250"/>
      <c r="E52" s="250"/>
      <c r="F52" s="250"/>
      <c r="G52" s="250"/>
      <c r="H52" s="251"/>
      <c r="I52" s="184"/>
      <c r="J52" s="185"/>
    </row>
    <row r="53" spans="1:10" ht="15.75" thickBot="1">
      <c r="A53" s="252" t="s">
        <v>206</v>
      </c>
      <c r="B53" s="835" t="s">
        <v>207</v>
      </c>
      <c r="C53" s="836"/>
      <c r="D53" s="836"/>
      <c r="E53" s="836"/>
      <c r="F53" s="836"/>
      <c r="G53" s="837"/>
      <c r="H53" s="253"/>
      <c r="I53" s="184"/>
      <c r="J53" s="185"/>
    </row>
    <row r="54" spans="1:10" ht="15.75" thickBot="1">
      <c r="A54" s="254">
        <v>1</v>
      </c>
      <c r="B54" s="838" t="s">
        <v>208</v>
      </c>
      <c r="C54" s="839"/>
      <c r="D54" s="839"/>
      <c r="E54" s="839"/>
      <c r="F54" s="839"/>
      <c r="G54" s="839"/>
      <c r="H54" s="255">
        <v>80000</v>
      </c>
      <c r="I54" s="193">
        <v>0.5</v>
      </c>
      <c r="J54" s="172"/>
    </row>
    <row r="55" spans="1:10" ht="30.75" customHeight="1" thickBot="1">
      <c r="A55" s="256">
        <v>2</v>
      </c>
      <c r="B55" s="824" t="s">
        <v>209</v>
      </c>
      <c r="C55" s="824"/>
      <c r="D55" s="824"/>
      <c r="E55" s="824"/>
      <c r="F55" s="824"/>
      <c r="G55" s="765"/>
      <c r="H55" s="257">
        <f>7500+10000+4000</f>
        <v>21500</v>
      </c>
      <c r="I55" s="193">
        <v>0.5</v>
      </c>
      <c r="J55" s="172"/>
    </row>
    <row r="56" spans="1:10" ht="23.25" customHeight="1" thickBot="1">
      <c r="A56" s="258">
        <v>3</v>
      </c>
      <c r="B56" s="824" t="s">
        <v>210</v>
      </c>
      <c r="C56" s="824"/>
      <c r="D56" s="824"/>
      <c r="E56" s="824"/>
      <c r="F56" s="824"/>
      <c r="G56" s="765"/>
      <c r="H56" s="259">
        <f>50000+80000+6000</f>
        <v>136000</v>
      </c>
      <c r="I56" s="193">
        <v>0.5</v>
      </c>
      <c r="J56" s="172"/>
    </row>
    <row r="57" spans="1:10" ht="27.75" customHeight="1" thickBot="1">
      <c r="A57" s="258">
        <v>4</v>
      </c>
      <c r="B57" s="824" t="s">
        <v>211</v>
      </c>
      <c r="C57" s="824"/>
      <c r="D57" s="824"/>
      <c r="E57" s="824"/>
      <c r="F57" s="824"/>
      <c r="G57" s="765"/>
      <c r="H57" s="257">
        <v>0</v>
      </c>
      <c r="I57" s="193"/>
      <c r="J57" s="172"/>
    </row>
    <row r="58" spans="1:10" ht="23.25" customHeight="1" thickBot="1">
      <c r="A58" s="258">
        <v>5</v>
      </c>
      <c r="B58" s="824" t="s">
        <v>212</v>
      </c>
      <c r="C58" s="824"/>
      <c r="D58" s="824"/>
      <c r="E58" s="824"/>
      <c r="F58" s="824"/>
      <c r="G58" s="765"/>
      <c r="H58" s="260">
        <f>H54*H55/H56</f>
        <v>12647.058823529413</v>
      </c>
      <c r="I58" s="193">
        <v>0.5</v>
      </c>
      <c r="J58" s="172"/>
    </row>
    <row r="59" spans="1:10" ht="15.75" thickBot="1">
      <c r="A59" s="261"/>
      <c r="B59" s="825"/>
      <c r="C59" s="826"/>
      <c r="D59" s="826"/>
      <c r="E59" s="826"/>
      <c r="F59" s="826"/>
      <c r="G59" s="826"/>
      <c r="H59" s="262"/>
      <c r="I59" s="184"/>
      <c r="J59" s="185"/>
    </row>
    <row r="60" spans="1:10" ht="15.75" thickBot="1">
      <c r="A60" s="263"/>
      <c r="B60" s="264"/>
      <c r="C60" s="264"/>
      <c r="D60" s="827" t="s">
        <v>213</v>
      </c>
      <c r="E60" s="827"/>
      <c r="F60" s="828"/>
      <c r="G60" s="265">
        <f>H54*15%/0.85</f>
        <v>14117.64705882353</v>
      </c>
      <c r="H60" s="264"/>
      <c r="I60" s="184"/>
      <c r="J60" s="185"/>
    </row>
    <row r="61" spans="1:10">
      <c r="A61" s="248"/>
      <c r="B61" s="266"/>
      <c r="C61" s="266"/>
      <c r="D61" s="266"/>
      <c r="E61" s="266"/>
      <c r="F61" s="267"/>
      <c r="G61" s="267"/>
      <c r="H61" s="268"/>
      <c r="I61" s="184"/>
      <c r="J61" s="185"/>
    </row>
    <row r="62" spans="1:10" ht="15.75" thickBot="1">
      <c r="A62" s="846"/>
      <c r="B62" s="846"/>
      <c r="C62" s="846"/>
      <c r="D62" s="269"/>
      <c r="E62" s="269"/>
      <c r="F62" s="270"/>
      <c r="G62" s="847" t="s">
        <v>214</v>
      </c>
      <c r="H62" s="847"/>
      <c r="I62" s="184"/>
      <c r="J62" s="185"/>
    </row>
    <row r="63" spans="1:10" ht="15.75" thickBot="1">
      <c r="A63" s="848" t="s">
        <v>215</v>
      </c>
      <c r="B63" s="849"/>
      <c r="C63" s="849"/>
      <c r="D63" s="849"/>
      <c r="E63" s="849"/>
      <c r="F63" s="849"/>
      <c r="G63" s="849"/>
      <c r="H63" s="850"/>
      <c r="I63" s="184"/>
      <c r="J63" s="185"/>
    </row>
    <row r="64" spans="1:10" ht="53.25" customHeight="1" thickBot="1">
      <c r="A64" s="851" t="s">
        <v>216</v>
      </c>
      <c r="B64" s="852"/>
      <c r="C64" s="853"/>
      <c r="D64" s="840" t="s">
        <v>217</v>
      </c>
      <c r="E64" s="842"/>
      <c r="F64" s="854" t="s">
        <v>218</v>
      </c>
      <c r="G64" s="855"/>
      <c r="H64" s="855"/>
      <c r="I64" s="193"/>
      <c r="J64" s="172"/>
    </row>
    <row r="65" spans="1:10" ht="15.75" thickBot="1">
      <c r="A65" s="840">
        <v>1</v>
      </c>
      <c r="B65" s="841"/>
      <c r="C65" s="842"/>
      <c r="D65" s="840">
        <v>2</v>
      </c>
      <c r="E65" s="842"/>
      <c r="F65" s="840">
        <v>3</v>
      </c>
      <c r="G65" s="841"/>
      <c r="H65" s="842"/>
      <c r="I65" s="271"/>
      <c r="J65" s="172"/>
    </row>
    <row r="66" spans="1:10">
      <c r="A66" s="843" t="s">
        <v>219</v>
      </c>
      <c r="B66" s="843"/>
      <c r="C66" s="843"/>
      <c r="D66" s="844" t="s">
        <v>166</v>
      </c>
      <c r="E66" s="844"/>
      <c r="F66" s="843">
        <v>15000</v>
      </c>
      <c r="G66" s="843"/>
      <c r="H66" s="845"/>
      <c r="I66" s="193">
        <v>0.5</v>
      </c>
      <c r="J66" s="172"/>
    </row>
    <row r="67" spans="1:10">
      <c r="A67" s="861" t="s">
        <v>220</v>
      </c>
      <c r="B67" s="861"/>
      <c r="C67" s="861"/>
      <c r="D67" s="844" t="s">
        <v>174</v>
      </c>
      <c r="E67" s="844"/>
      <c r="F67" s="710">
        <v>20000</v>
      </c>
      <c r="G67" s="710"/>
      <c r="H67" s="710"/>
      <c r="I67" s="193">
        <v>0.5</v>
      </c>
      <c r="J67" s="172"/>
    </row>
    <row r="68" spans="1:10">
      <c r="A68" s="272"/>
      <c r="B68" s="272"/>
      <c r="C68" s="272"/>
      <c r="D68" s="273"/>
      <c r="E68" s="273"/>
      <c r="F68" s="274"/>
      <c r="G68" s="274"/>
      <c r="H68" s="268"/>
      <c r="I68" s="246">
        <f>SUM(I6:I67)</f>
        <v>10.5</v>
      </c>
      <c r="J68" s="275"/>
    </row>
    <row r="69" spans="1:10">
      <c r="A69" s="268"/>
      <c r="B69" s="276"/>
      <c r="C69" s="276"/>
      <c r="D69" s="276"/>
      <c r="E69" s="276"/>
      <c r="F69" s="276"/>
      <c r="G69" s="276"/>
      <c r="H69" s="268"/>
      <c r="I69" s="277"/>
      <c r="J69" s="275"/>
    </row>
    <row r="70" spans="1:10" ht="15" customHeight="1">
      <c r="G70" s="633" t="s">
        <v>221</v>
      </c>
      <c r="H70" s="633"/>
      <c r="J70" s="275"/>
    </row>
    <row r="71" spans="1:10">
      <c r="J71" s="275"/>
    </row>
    <row r="72" spans="1:10" ht="59.25" customHeight="1">
      <c r="A72" s="862" t="s">
        <v>207</v>
      </c>
      <c r="B72" s="862"/>
      <c r="C72" s="862"/>
      <c r="D72" s="278" t="s">
        <v>222</v>
      </c>
      <c r="E72" s="279" t="s">
        <v>223</v>
      </c>
      <c r="F72" s="174"/>
      <c r="G72" s="278" t="s">
        <v>224</v>
      </c>
      <c r="H72" s="16"/>
      <c r="I72" s="278" t="s">
        <v>225</v>
      </c>
      <c r="J72" s="275"/>
    </row>
    <row r="73" spans="1:10" ht="30">
      <c r="A73" s="862"/>
      <c r="B73" s="862"/>
      <c r="C73" s="862"/>
      <c r="D73" s="174"/>
      <c r="E73" s="167" t="s">
        <v>226</v>
      </c>
      <c r="F73" s="15" t="s">
        <v>227</v>
      </c>
      <c r="G73" s="167" t="s">
        <v>226</v>
      </c>
      <c r="H73" s="15" t="s">
        <v>227</v>
      </c>
      <c r="I73" s="174"/>
    </row>
    <row r="74" spans="1:10">
      <c r="A74" s="495" t="s">
        <v>228</v>
      </c>
      <c r="B74" s="496"/>
      <c r="C74" s="497"/>
      <c r="D74" s="167">
        <v>15000</v>
      </c>
      <c r="E74" s="167">
        <v>36700</v>
      </c>
      <c r="F74" s="167"/>
      <c r="G74" s="167"/>
      <c r="H74" s="167"/>
      <c r="I74" s="167">
        <f>D74+E74-G74</f>
        <v>51700</v>
      </c>
      <c r="J74" s="280">
        <v>0.5</v>
      </c>
    </row>
    <row r="75" spans="1:10">
      <c r="A75" s="495" t="s">
        <v>229</v>
      </c>
      <c r="B75" s="496"/>
      <c r="C75" s="497"/>
      <c r="D75" s="167">
        <v>70000</v>
      </c>
      <c r="E75" s="167">
        <v>100000</v>
      </c>
      <c r="F75" s="167"/>
      <c r="G75" s="167"/>
      <c r="H75" s="167"/>
      <c r="I75" s="167">
        <f t="shared" ref="I75:I77" si="0">D75+E75-G75</f>
        <v>170000</v>
      </c>
      <c r="J75" s="280">
        <v>0.5</v>
      </c>
    </row>
    <row r="76" spans="1:10">
      <c r="A76" s="495" t="s">
        <v>230</v>
      </c>
      <c r="B76" s="496"/>
      <c r="C76" s="497"/>
      <c r="D76" s="167">
        <v>100000</v>
      </c>
      <c r="E76" s="167">
        <f>22000+15000+20000</f>
        <v>57000</v>
      </c>
      <c r="F76" s="167"/>
      <c r="G76" s="167"/>
      <c r="H76" s="167"/>
      <c r="I76" s="167">
        <f t="shared" si="0"/>
        <v>157000</v>
      </c>
      <c r="J76" s="280">
        <v>0.5</v>
      </c>
    </row>
    <row r="77" spans="1:10" ht="33" customHeight="1">
      <c r="A77" s="856" t="s">
        <v>231</v>
      </c>
      <c r="B77" s="857"/>
      <c r="C77" s="858"/>
      <c r="D77" s="167">
        <v>0</v>
      </c>
      <c r="E77" s="167">
        <f>'მოგება-სამუშაო რვეული'!H48</f>
        <v>180000</v>
      </c>
      <c r="F77" s="167"/>
      <c r="G77" s="167"/>
      <c r="H77" s="167"/>
      <c r="I77" s="167">
        <f t="shared" si="0"/>
        <v>180000</v>
      </c>
      <c r="J77" s="167">
        <v>0.5</v>
      </c>
    </row>
    <row r="78" spans="1:10">
      <c r="J78" s="81"/>
    </row>
    <row r="79" spans="1:10">
      <c r="A79" s="281"/>
      <c r="B79" s="859"/>
      <c r="C79" s="859"/>
      <c r="D79" s="859"/>
      <c r="E79" s="859"/>
      <c r="F79" s="859"/>
      <c r="G79" s="859"/>
      <c r="H79" s="282"/>
      <c r="I79" s="246"/>
    </row>
    <row r="80" spans="1:10">
      <c r="A80" s="281"/>
      <c r="B80" s="860"/>
      <c r="C80" s="860"/>
      <c r="D80" s="860"/>
      <c r="E80" s="860"/>
      <c r="F80" s="860"/>
      <c r="G80" s="860"/>
      <c r="H80" s="283"/>
      <c r="I80" s="246"/>
    </row>
    <row r="81" spans="1:9">
      <c r="A81" s="281"/>
      <c r="B81" s="859"/>
      <c r="C81" s="859"/>
      <c r="D81" s="859"/>
      <c r="E81" s="859"/>
      <c r="F81" s="859"/>
      <c r="G81" s="859"/>
      <c r="H81" s="283"/>
      <c r="I81" s="246"/>
    </row>
  </sheetData>
  <mergeCells count="107">
    <mergeCell ref="A75:C75"/>
    <mergeCell ref="A76:C76"/>
    <mergeCell ref="A77:C77"/>
    <mergeCell ref="B79:G79"/>
    <mergeCell ref="B80:G80"/>
    <mergeCell ref="B81:G81"/>
    <mergeCell ref="A67:C67"/>
    <mergeCell ref="D67:E67"/>
    <mergeCell ref="F67:H67"/>
    <mergeCell ref="G70:H70"/>
    <mergeCell ref="A72:C73"/>
    <mergeCell ref="A74:C74"/>
    <mergeCell ref="A65:C65"/>
    <mergeCell ref="D65:E65"/>
    <mergeCell ref="F65:H65"/>
    <mergeCell ref="A66:C66"/>
    <mergeCell ref="D66:E66"/>
    <mergeCell ref="F66:H66"/>
    <mergeCell ref="A62:C62"/>
    <mergeCell ref="G62:H62"/>
    <mergeCell ref="A63:H63"/>
    <mergeCell ref="A64:C64"/>
    <mergeCell ref="D64:E64"/>
    <mergeCell ref="F64:H64"/>
    <mergeCell ref="B55:G55"/>
    <mergeCell ref="B56:G56"/>
    <mergeCell ref="B57:G57"/>
    <mergeCell ref="B58:G58"/>
    <mergeCell ref="B59:G59"/>
    <mergeCell ref="D60:F60"/>
    <mergeCell ref="B47:G47"/>
    <mergeCell ref="B48:G48"/>
    <mergeCell ref="G50:H50"/>
    <mergeCell ref="B51:H51"/>
    <mergeCell ref="B53:G53"/>
    <mergeCell ref="B54:G54"/>
    <mergeCell ref="B42:G42"/>
    <mergeCell ref="A43:A46"/>
    <mergeCell ref="B43:G43"/>
    <mergeCell ref="C44:F44"/>
    <mergeCell ref="H44:H46"/>
    <mergeCell ref="C45:F45"/>
    <mergeCell ref="C46:F46"/>
    <mergeCell ref="A38:A40"/>
    <mergeCell ref="B38:G38"/>
    <mergeCell ref="I38:I41"/>
    <mergeCell ref="C39:F39"/>
    <mergeCell ref="H39:H40"/>
    <mergeCell ref="C40:F40"/>
    <mergeCell ref="C41:F41"/>
    <mergeCell ref="I31:I32"/>
    <mergeCell ref="C32:F32"/>
    <mergeCell ref="B33:G33"/>
    <mergeCell ref="B34:G34"/>
    <mergeCell ref="B35:G35"/>
    <mergeCell ref="B36:G36"/>
    <mergeCell ref="I36:I37"/>
    <mergeCell ref="B37:G37"/>
    <mergeCell ref="C28:F28"/>
    <mergeCell ref="H28:H30"/>
    <mergeCell ref="C29:F29"/>
    <mergeCell ref="C30:F30"/>
    <mergeCell ref="A31:A32"/>
    <mergeCell ref="B31:G31"/>
    <mergeCell ref="A21:A30"/>
    <mergeCell ref="B21:G21"/>
    <mergeCell ref="B22:B27"/>
    <mergeCell ref="C22:F22"/>
    <mergeCell ref="D23:E23"/>
    <mergeCell ref="B10:B12"/>
    <mergeCell ref="C10:F10"/>
    <mergeCell ref="I23:I27"/>
    <mergeCell ref="D24:E24"/>
    <mergeCell ref="D25:E25"/>
    <mergeCell ref="D26:E26"/>
    <mergeCell ref="D27:E27"/>
    <mergeCell ref="A17:A20"/>
    <mergeCell ref="B17:G17"/>
    <mergeCell ref="I17:I20"/>
    <mergeCell ref="C18:F18"/>
    <mergeCell ref="H18:H20"/>
    <mergeCell ref="C19:F19"/>
    <mergeCell ref="C20:F20"/>
    <mergeCell ref="A2:H2"/>
    <mergeCell ref="A3:G4"/>
    <mergeCell ref="H3:H4"/>
    <mergeCell ref="I3:I4"/>
    <mergeCell ref="J3:J4"/>
    <mergeCell ref="A5:A16"/>
    <mergeCell ref="B5:G5"/>
    <mergeCell ref="I5:I7"/>
    <mergeCell ref="B6:B8"/>
    <mergeCell ref="C6:F6"/>
    <mergeCell ref="I10:I16"/>
    <mergeCell ref="D11:E11"/>
    <mergeCell ref="G11:G12"/>
    <mergeCell ref="D12:E12"/>
    <mergeCell ref="B13:B15"/>
    <mergeCell ref="C13:F13"/>
    <mergeCell ref="D14:E14"/>
    <mergeCell ref="G14:G15"/>
    <mergeCell ref="D15:E15"/>
    <mergeCell ref="C16:F16"/>
    <mergeCell ref="H6:H16"/>
    <mergeCell ref="D7:E7"/>
    <mergeCell ref="D8:E8"/>
    <mergeCell ref="C9:F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22"/>
  <sheetViews>
    <sheetView workbookViewId="0">
      <selection activeCell="G14" sqref="G14"/>
    </sheetView>
  </sheetViews>
  <sheetFormatPr defaultRowHeight="15"/>
  <sheetData>
    <row r="3" spans="2:2">
      <c r="B3" t="s">
        <v>367</v>
      </c>
    </row>
    <row r="4" spans="2:2">
      <c r="B4" t="s">
        <v>368</v>
      </c>
    </row>
    <row r="5" spans="2:2">
      <c r="B5" t="s">
        <v>369</v>
      </c>
    </row>
    <row r="6" spans="2:2">
      <c r="B6" t="s">
        <v>370</v>
      </c>
    </row>
    <row r="7" spans="2:2">
      <c r="B7" t="s">
        <v>371</v>
      </c>
    </row>
    <row r="8" spans="2:2">
      <c r="B8" t="s">
        <v>372</v>
      </c>
    </row>
    <row r="9" spans="2:2">
      <c r="B9" t="s">
        <v>373</v>
      </c>
    </row>
    <row r="10" spans="2:2">
      <c r="B10" t="s">
        <v>374</v>
      </c>
    </row>
    <row r="11" spans="2:2">
      <c r="B11" t="s">
        <v>375</v>
      </c>
    </row>
    <row r="12" spans="2:2">
      <c r="B12" t="s">
        <v>376</v>
      </c>
    </row>
    <row r="13" spans="2:2">
      <c r="B13" t="s">
        <v>377</v>
      </c>
    </row>
    <row r="14" spans="2:2">
      <c r="B14" t="s">
        <v>378</v>
      </c>
    </row>
    <row r="15" spans="2:2">
      <c r="B15" t="s">
        <v>379</v>
      </c>
    </row>
    <row r="16" spans="2:2">
      <c r="B16" t="s">
        <v>380</v>
      </c>
    </row>
    <row r="17" spans="2:2">
      <c r="B17" t="s">
        <v>381</v>
      </c>
    </row>
    <row r="18" spans="2:2">
      <c r="B18" t="s">
        <v>382</v>
      </c>
    </row>
    <row r="19" spans="2:2">
      <c r="B19" t="s">
        <v>383</v>
      </c>
    </row>
    <row r="20" spans="2:2">
      <c r="B20" t="s">
        <v>384</v>
      </c>
    </row>
    <row r="21" spans="2:2">
      <c r="B21" t="s">
        <v>385</v>
      </c>
    </row>
    <row r="22" spans="2:2">
      <c r="B22" t="s">
        <v>386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საშემოსავლო-ხელფასის უწყისი</vt:lpstr>
      <vt:lpstr>საშემოსავლო-სამუშაო რვეული</vt:lpstr>
      <vt:lpstr>საშემოსავლო-დეკლარაცია</vt:lpstr>
      <vt:lpstr>დღგ- სამუშაო რვეული</vt:lpstr>
      <vt:lpstr>დღგ-დეკლარაცია</vt:lpstr>
      <vt:lpstr>მოგება-სამუშაო რვეული</vt:lpstr>
      <vt:lpstr>მოგება-დეკლარაცია </vt:lpstr>
      <vt:lpstr>ა განყოფილება </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Ella</dc:creator>
  <cp:lastModifiedBy>Marina</cp:lastModifiedBy>
  <dcterms:created xsi:type="dcterms:W3CDTF">2026-05-13T13:38:55Z</dcterms:created>
  <dcterms:modified xsi:type="dcterms:W3CDTF">2026-06-04T11:26:23Z</dcterms:modified>
</cp:coreProperties>
</file>